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win-file-01\Finance\Shared financial files\Raif\"/>
    </mc:Choice>
  </mc:AlternateContent>
  <xr:revisionPtr revIDLastSave="0" documentId="13_ncr:1_{923BB5D3-5E7F-4467-9F48-30B4FAE11CFA}" xr6:coauthVersionLast="47" xr6:coauthVersionMax="47" xr10:uidLastSave="{00000000-0000-0000-0000-000000000000}"/>
  <bookViews>
    <workbookView xWindow="-28920" yWindow="-120" windowWidth="29040" windowHeight="15720" xr2:uid="{BD1E96DA-36E4-452B-9961-4221F60EFBAF}"/>
  </bookViews>
  <sheets>
    <sheet name="Introduction" sheetId="2" r:id="rId1"/>
    <sheet name="Summary" sheetId="7" r:id="rId2"/>
    <sheet name="Revenue" sheetId="4" r:id="rId3"/>
    <sheet name="Revenue (checker)" sheetId="11" state="hidden" r:id="rId4"/>
    <sheet name="Minimum Wage calculator" sheetId="10" r:id="rId5"/>
    <sheet name="NI calculator" sheetId="5" r:id="rId6"/>
    <sheet name="Other Costs" sheetId="6" r:id="rId7"/>
    <sheet name="Revenue (original)" sheetId="9" state="hidden" r:id="rId8"/>
    <sheet name="ProfitOptions" sheetId="8" state="hidden" r:id="rId9"/>
    <sheet name="PQS table" sheetId="3"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5" l="1"/>
  <c r="H25" i="5"/>
  <c r="I25" i="5" s="1"/>
  <c r="G26" i="5"/>
  <c r="H26" i="5"/>
  <c r="I26" i="5"/>
  <c r="G27" i="5"/>
  <c r="I27" i="5" s="1"/>
  <c r="H27" i="5"/>
  <c r="G28" i="5"/>
  <c r="I28" i="5" s="1"/>
  <c r="H28" i="5"/>
  <c r="G29" i="5"/>
  <c r="H29" i="5"/>
  <c r="I29" i="5" s="1"/>
  <c r="G30" i="5"/>
  <c r="H30" i="5"/>
  <c r="I30" i="5" s="1"/>
  <c r="G31" i="5"/>
  <c r="H31" i="5"/>
  <c r="I31" i="5" s="1"/>
  <c r="G32" i="5"/>
  <c r="H32" i="5"/>
  <c r="G33" i="5"/>
  <c r="H33" i="5"/>
  <c r="I33" i="5" s="1"/>
  <c r="G34" i="5"/>
  <c r="H34" i="5"/>
  <c r="I34" i="5" s="1"/>
  <c r="G35" i="5"/>
  <c r="H35" i="5"/>
  <c r="G36" i="5"/>
  <c r="I36" i="5" s="1"/>
  <c r="H36" i="5"/>
  <c r="G37" i="5"/>
  <c r="H37" i="5"/>
  <c r="I37" i="5" s="1"/>
  <c r="G38" i="5"/>
  <c r="H38" i="5"/>
  <c r="I38" i="5" s="1"/>
  <c r="G39" i="5"/>
  <c r="H39" i="5"/>
  <c r="I39" i="5" s="1"/>
  <c r="G40" i="5"/>
  <c r="H40" i="5"/>
  <c r="G41" i="5"/>
  <c r="H41" i="5"/>
  <c r="I41" i="5" s="1"/>
  <c r="G42" i="5"/>
  <c r="H42" i="5"/>
  <c r="I42" i="5"/>
  <c r="G43" i="5"/>
  <c r="I43" i="5" s="1"/>
  <c r="H43" i="5"/>
  <c r="G44" i="5"/>
  <c r="I44" i="5" s="1"/>
  <c r="H44" i="5"/>
  <c r="G45" i="5"/>
  <c r="H45" i="5"/>
  <c r="G46" i="5"/>
  <c r="H46" i="5"/>
  <c r="I46" i="5" s="1"/>
  <c r="G47" i="5"/>
  <c r="H47" i="5"/>
  <c r="G48" i="5"/>
  <c r="H48" i="5"/>
  <c r="G49" i="5"/>
  <c r="H49" i="5"/>
  <c r="G50" i="5"/>
  <c r="H50" i="5"/>
  <c r="I50" i="5"/>
  <c r="G51" i="5"/>
  <c r="I51" i="5" s="1"/>
  <c r="H51" i="5"/>
  <c r="G78" i="10"/>
  <c r="F78" i="10"/>
  <c r="J41" i="11"/>
  <c r="J42" i="11"/>
  <c r="I81" i="11"/>
  <c r="H81" i="11"/>
  <c r="J80" i="11"/>
  <c r="J79" i="11"/>
  <c r="I75" i="11"/>
  <c r="H75" i="11"/>
  <c r="I74" i="11"/>
  <c r="H74" i="11"/>
  <c r="I73" i="11"/>
  <c r="H73" i="11"/>
  <c r="I72" i="11"/>
  <c r="H72" i="11"/>
  <c r="I68" i="11"/>
  <c r="H68" i="11"/>
  <c r="I67" i="11"/>
  <c r="H67" i="11"/>
  <c r="I66" i="11"/>
  <c r="H66" i="11"/>
  <c r="I65" i="11"/>
  <c r="H65" i="11"/>
  <c r="I64" i="11"/>
  <c r="H64" i="11"/>
  <c r="I63" i="11"/>
  <c r="H63" i="11"/>
  <c r="I62" i="11"/>
  <c r="H62" i="11"/>
  <c r="I61" i="11"/>
  <c r="H61" i="11"/>
  <c r="I60" i="11"/>
  <c r="H60" i="11"/>
  <c r="I59" i="11"/>
  <c r="H59" i="11"/>
  <c r="I58" i="11"/>
  <c r="H58" i="11"/>
  <c r="I57" i="11"/>
  <c r="H57" i="11"/>
  <c r="I56" i="11"/>
  <c r="H56" i="11"/>
  <c r="I55" i="11"/>
  <c r="H55" i="11"/>
  <c r="I54" i="11"/>
  <c r="H54" i="11"/>
  <c r="I53" i="11"/>
  <c r="J53" i="11" s="1"/>
  <c r="I52" i="11"/>
  <c r="J52" i="11" s="1"/>
  <c r="E51" i="11"/>
  <c r="H51" i="11" s="1"/>
  <c r="J51" i="11" s="1"/>
  <c r="I49" i="11"/>
  <c r="H49" i="11"/>
  <c r="I48" i="11"/>
  <c r="H48" i="11"/>
  <c r="I47" i="11"/>
  <c r="H47" i="11"/>
  <c r="I46" i="11"/>
  <c r="H46" i="11"/>
  <c r="J38" i="11"/>
  <c r="J36" i="11"/>
  <c r="J35" i="11"/>
  <c r="J33" i="11"/>
  <c r="J31" i="11"/>
  <c r="F26" i="11"/>
  <c r="I26" i="11" s="1"/>
  <c r="E26" i="11"/>
  <c r="H26" i="11" s="1"/>
  <c r="F25" i="11"/>
  <c r="I25" i="11" s="1"/>
  <c r="E25" i="11"/>
  <c r="H25" i="11" s="1"/>
  <c r="I24" i="11"/>
  <c r="H24" i="11"/>
  <c r="J80" i="4"/>
  <c r="J79" i="4"/>
  <c r="I81" i="4"/>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F28" i="10"/>
  <c r="G28" i="10"/>
  <c r="H28" i="10" s="1"/>
  <c r="F29" i="10"/>
  <c r="G29" i="10"/>
  <c r="F30" i="10"/>
  <c r="G30" i="10"/>
  <c r="F31" i="10"/>
  <c r="G31" i="10"/>
  <c r="F32" i="10"/>
  <c r="G32" i="10"/>
  <c r="F33" i="10"/>
  <c r="G33" i="10"/>
  <c r="F34" i="10"/>
  <c r="G34" i="10"/>
  <c r="F35" i="10"/>
  <c r="G35" i="10"/>
  <c r="F36" i="10"/>
  <c r="G36" i="10"/>
  <c r="F37" i="10"/>
  <c r="G37" i="10"/>
  <c r="F38" i="10"/>
  <c r="G38" i="10"/>
  <c r="F39" i="10"/>
  <c r="G39" i="10"/>
  <c r="F40" i="10"/>
  <c r="G40" i="10"/>
  <c r="F41" i="10"/>
  <c r="G41" i="10"/>
  <c r="F42" i="10"/>
  <c r="G42" i="10"/>
  <c r="F43" i="10"/>
  <c r="G43" i="10"/>
  <c r="F44" i="10"/>
  <c r="G44" i="10"/>
  <c r="F45" i="10"/>
  <c r="G45" i="10"/>
  <c r="F46" i="10"/>
  <c r="G46" i="10"/>
  <c r="F47" i="10"/>
  <c r="G47" i="10"/>
  <c r="F48" i="10"/>
  <c r="G48" i="10"/>
  <c r="F49" i="10"/>
  <c r="G49" i="10"/>
  <c r="F50" i="10"/>
  <c r="G50" i="10"/>
  <c r="F51" i="10"/>
  <c r="G51" i="10"/>
  <c r="F52" i="10"/>
  <c r="G52" i="10"/>
  <c r="F53" i="10"/>
  <c r="G53" i="10"/>
  <c r="F54" i="10"/>
  <c r="G54" i="10"/>
  <c r="F55" i="10"/>
  <c r="G55" i="10"/>
  <c r="F56" i="10"/>
  <c r="G56" i="10"/>
  <c r="F57" i="10"/>
  <c r="G57" i="10"/>
  <c r="F58" i="10"/>
  <c r="G58" i="10"/>
  <c r="F59" i="10"/>
  <c r="G59" i="10"/>
  <c r="F60" i="10"/>
  <c r="G60" i="10"/>
  <c r="F61" i="10"/>
  <c r="G61" i="10"/>
  <c r="F62" i="10"/>
  <c r="G62" i="10"/>
  <c r="F63" i="10"/>
  <c r="G63" i="10"/>
  <c r="F64" i="10"/>
  <c r="G64" i="10"/>
  <c r="F65" i="10"/>
  <c r="G65" i="10"/>
  <c r="F66" i="10"/>
  <c r="G66" i="10"/>
  <c r="F67" i="10"/>
  <c r="G67" i="10"/>
  <c r="F27" i="10"/>
  <c r="G27" i="10"/>
  <c r="H27" i="10" s="1"/>
  <c r="I23" i="4"/>
  <c r="H23" i="4"/>
  <c r="H66" i="4"/>
  <c r="I66" i="4"/>
  <c r="H67" i="4"/>
  <c r="I67" i="4"/>
  <c r="E51" i="4"/>
  <c r="G68" i="10"/>
  <c r="K68" i="10" s="1"/>
  <c r="M68" i="10" s="1"/>
  <c r="F68" i="10"/>
  <c r="J68" i="10" s="1"/>
  <c r="L68" i="10" s="1"/>
  <c r="G26" i="10"/>
  <c r="K26" i="10" s="1"/>
  <c r="M26" i="10" s="1"/>
  <c r="F26" i="10"/>
  <c r="J26" i="10" s="1"/>
  <c r="L26" i="10" s="1"/>
  <c r="G25" i="10"/>
  <c r="K25" i="10" s="1"/>
  <c r="M25" i="10" s="1"/>
  <c r="F25" i="10"/>
  <c r="J25" i="10" s="1"/>
  <c r="L25" i="10" s="1"/>
  <c r="G24" i="10"/>
  <c r="K24" i="10" s="1"/>
  <c r="M24" i="10" s="1"/>
  <c r="G23" i="10"/>
  <c r="K23" i="10" s="1"/>
  <c r="M23" i="10" s="1"/>
  <c r="G22" i="10"/>
  <c r="K22" i="10" s="1"/>
  <c r="M22" i="10" s="1"/>
  <c r="G21" i="10"/>
  <c r="K21" i="10" s="1"/>
  <c r="M21" i="10" s="1"/>
  <c r="G20" i="10"/>
  <c r="K20" i="10" s="1"/>
  <c r="M20" i="10" s="1"/>
  <c r="G19" i="10"/>
  <c r="K19" i="10" s="1"/>
  <c r="M19" i="10" s="1"/>
  <c r="E22" i="10"/>
  <c r="F22" i="10" s="1"/>
  <c r="J22" i="10" s="1"/>
  <c r="L22" i="10" s="1"/>
  <c r="E21" i="10"/>
  <c r="F21" i="10" s="1"/>
  <c r="J21" i="10" s="1"/>
  <c r="L21" i="10" s="1"/>
  <c r="E20" i="10"/>
  <c r="F20" i="10" s="1"/>
  <c r="J20" i="10" s="1"/>
  <c r="L20" i="10" s="1"/>
  <c r="E10" i="10"/>
  <c r="E19" i="10" s="1"/>
  <c r="F19" i="10" s="1"/>
  <c r="J19" i="10" s="1"/>
  <c r="L19" i="10" s="1"/>
  <c r="D62" i="6"/>
  <c r="E16" i="7" s="1"/>
  <c r="C62" i="6"/>
  <c r="C16" i="7" s="1"/>
  <c r="E14" i="6"/>
  <c r="F56" i="5"/>
  <c r="I35" i="5" l="1"/>
  <c r="I49" i="5"/>
  <c r="I45" i="5"/>
  <c r="I48" i="5"/>
  <c r="I40" i="5"/>
  <c r="I47" i="5"/>
  <c r="I32" i="5"/>
  <c r="H37" i="10"/>
  <c r="H33" i="10"/>
  <c r="H29" i="10"/>
  <c r="J62" i="11"/>
  <c r="J25" i="11"/>
  <c r="J56" i="11"/>
  <c r="J60" i="11"/>
  <c r="J68" i="11"/>
  <c r="J81" i="11"/>
  <c r="J74" i="11"/>
  <c r="J55" i="11"/>
  <c r="J59" i="11"/>
  <c r="J63" i="11"/>
  <c r="J67" i="11"/>
  <c r="J57" i="11"/>
  <c r="J47" i="11"/>
  <c r="J26" i="11"/>
  <c r="J54" i="11"/>
  <c r="J58" i="11"/>
  <c r="J61" i="11"/>
  <c r="J65" i="11"/>
  <c r="J75" i="11"/>
  <c r="H27" i="11"/>
  <c r="J48" i="11"/>
  <c r="J66" i="11"/>
  <c r="J72" i="11"/>
  <c r="J49" i="11"/>
  <c r="H76" i="11"/>
  <c r="I76" i="11"/>
  <c r="H69" i="11"/>
  <c r="I69" i="11"/>
  <c r="J64" i="11"/>
  <c r="J32" i="11"/>
  <c r="J40" i="11"/>
  <c r="J39" i="11"/>
  <c r="I43" i="11"/>
  <c r="J37" i="11"/>
  <c r="H43" i="11"/>
  <c r="J34" i="11"/>
  <c r="I27" i="11"/>
  <c r="J46" i="11"/>
  <c r="J24" i="11"/>
  <c r="J27" i="11" s="1"/>
  <c r="J30" i="11"/>
  <c r="J73" i="11"/>
  <c r="H55" i="10"/>
  <c r="H35" i="10"/>
  <c r="H81" i="4"/>
  <c r="J23" i="4"/>
  <c r="J81" i="4"/>
  <c r="J66" i="4"/>
  <c r="H58" i="10"/>
  <c r="H64" i="10"/>
  <c r="H40" i="10"/>
  <c r="H39" i="10"/>
  <c r="H38" i="10"/>
  <c r="H34" i="10"/>
  <c r="H30" i="10"/>
  <c r="H43" i="10"/>
  <c r="H42" i="10"/>
  <c r="H67" i="10"/>
  <c r="H48" i="10"/>
  <c r="H62" i="10"/>
  <c r="H51" i="10"/>
  <c r="H47" i="10"/>
  <c r="H32" i="10"/>
  <c r="H61" i="10"/>
  <c r="H54" i="10"/>
  <c r="H63" i="10"/>
  <c r="H56" i="10"/>
  <c r="H45" i="10"/>
  <c r="H36" i="10"/>
  <c r="H50" i="10"/>
  <c r="H46" i="10"/>
  <c r="H60" i="10"/>
  <c r="H53" i="10"/>
  <c r="H66" i="10"/>
  <c r="H59" i="10"/>
  <c r="H52" i="10"/>
  <c r="H31" i="10"/>
  <c r="H49" i="10"/>
  <c r="H65" i="10"/>
  <c r="H57" i="10"/>
  <c r="H44" i="10"/>
  <c r="H41" i="10"/>
  <c r="J67" i="4"/>
  <c r="E23" i="10"/>
  <c r="F23" i="10" s="1"/>
  <c r="J23" i="10" s="1"/>
  <c r="L23" i="10" s="1"/>
  <c r="E24" i="10"/>
  <c r="F24" i="10" s="1"/>
  <c r="J24" i="10" s="1"/>
  <c r="L24" i="10" s="1"/>
  <c r="H68" i="10"/>
  <c r="M69" i="10"/>
  <c r="G77" i="10" s="1"/>
  <c r="H22" i="10"/>
  <c r="H21" i="10"/>
  <c r="H25" i="10"/>
  <c r="H20" i="10"/>
  <c r="H26" i="10"/>
  <c r="G69" i="10"/>
  <c r="H19" i="10"/>
  <c r="H51" i="4"/>
  <c r="J51" i="4" s="1"/>
  <c r="F24" i="4"/>
  <c r="I24" i="4" s="1"/>
  <c r="F43" i="4"/>
  <c r="E24" i="4"/>
  <c r="H24" i="4" s="1"/>
  <c r="E43" i="4"/>
  <c r="H75" i="4"/>
  <c r="I75" i="4"/>
  <c r="H74" i="4"/>
  <c r="I74" i="4"/>
  <c r="I73" i="4"/>
  <c r="H73" i="4"/>
  <c r="I72" i="4"/>
  <c r="H72" i="4"/>
  <c r="I38" i="4"/>
  <c r="H38" i="4"/>
  <c r="I37" i="4"/>
  <c r="H37" i="4"/>
  <c r="I36" i="4"/>
  <c r="H36" i="4"/>
  <c r="I35" i="4"/>
  <c r="H35" i="4"/>
  <c r="I34" i="4"/>
  <c r="H34" i="4"/>
  <c r="I33" i="4"/>
  <c r="H33" i="4"/>
  <c r="I32" i="4"/>
  <c r="H32" i="4"/>
  <c r="I31" i="4"/>
  <c r="H31" i="4"/>
  <c r="I30" i="4"/>
  <c r="H30" i="4"/>
  <c r="I29" i="4"/>
  <c r="H29" i="4"/>
  <c r="I28" i="4"/>
  <c r="H28" i="4"/>
  <c r="I60" i="4"/>
  <c r="H60" i="4"/>
  <c r="I59" i="4"/>
  <c r="H59" i="4"/>
  <c r="I58" i="4"/>
  <c r="H58" i="4"/>
  <c r="I57" i="4"/>
  <c r="H57" i="4"/>
  <c r="I56" i="4"/>
  <c r="H56" i="4"/>
  <c r="I55" i="4"/>
  <c r="H55" i="4"/>
  <c r="I54" i="4"/>
  <c r="H54" i="4"/>
  <c r="I53" i="4"/>
  <c r="I52" i="4"/>
  <c r="I49" i="4"/>
  <c r="H49" i="4"/>
  <c r="I48" i="4"/>
  <c r="H48" i="4"/>
  <c r="I47" i="4"/>
  <c r="H47" i="4"/>
  <c r="I68" i="4"/>
  <c r="H68" i="4"/>
  <c r="I65" i="4"/>
  <c r="H65" i="4"/>
  <c r="I64" i="4"/>
  <c r="H64" i="4"/>
  <c r="I63" i="4"/>
  <c r="H63" i="4"/>
  <c r="I62" i="4"/>
  <c r="H62" i="4"/>
  <c r="H61" i="4"/>
  <c r="I61" i="4"/>
  <c r="I46" i="4"/>
  <c r="H46" i="4"/>
  <c r="G34" i="9"/>
  <c r="F34" i="9"/>
  <c r="K26" i="9"/>
  <c r="J26" i="9"/>
  <c r="I26" i="9"/>
  <c r="J25" i="9"/>
  <c r="I25" i="9"/>
  <c r="K25" i="9" s="1"/>
  <c r="J24" i="9"/>
  <c r="K24" i="9" s="1"/>
  <c r="I24" i="9"/>
  <c r="J23" i="9"/>
  <c r="I23" i="9"/>
  <c r="K23" i="9" s="1"/>
  <c r="J22" i="9"/>
  <c r="K22" i="9" s="1"/>
  <c r="I22" i="9"/>
  <c r="J21" i="9"/>
  <c r="K21" i="9" s="1"/>
  <c r="I21" i="9"/>
  <c r="J20" i="9"/>
  <c r="K20" i="9" s="1"/>
  <c r="I20" i="9"/>
  <c r="J19" i="9"/>
  <c r="K19" i="9" s="1"/>
  <c r="I19" i="9"/>
  <c r="K18" i="9"/>
  <c r="J18" i="9"/>
  <c r="I18" i="9"/>
  <c r="J17" i="9"/>
  <c r="K17" i="9" s="1"/>
  <c r="I17" i="9"/>
  <c r="J16" i="9"/>
  <c r="I16" i="9"/>
  <c r="K16" i="9" s="1"/>
  <c r="K15" i="9"/>
  <c r="J15" i="9"/>
  <c r="I15" i="9"/>
  <c r="J14" i="9"/>
  <c r="K14" i="9" s="1"/>
  <c r="I14" i="9"/>
  <c r="J13" i="9"/>
  <c r="K13" i="9" s="1"/>
  <c r="I13" i="9"/>
  <c r="J12" i="9"/>
  <c r="K12" i="9" s="1"/>
  <c r="I12" i="9"/>
  <c r="G11" i="9"/>
  <c r="J11" i="9" s="1"/>
  <c r="F11" i="9"/>
  <c r="I11" i="9" s="1"/>
  <c r="G10" i="9"/>
  <c r="J10" i="9" s="1"/>
  <c r="F10" i="9"/>
  <c r="I10" i="9" s="1"/>
  <c r="J9" i="9"/>
  <c r="J28" i="9" s="1"/>
  <c r="I9" i="9"/>
  <c r="E13" i="6"/>
  <c r="E12" i="6"/>
  <c r="G23" i="5"/>
  <c r="H23" i="5"/>
  <c r="G24" i="5"/>
  <c r="H24" i="5"/>
  <c r="H22" i="5"/>
  <c r="G22" i="5"/>
  <c r="H56" i="5"/>
  <c r="I83" i="11" l="1"/>
  <c r="H83" i="11"/>
  <c r="J76" i="11"/>
  <c r="J69" i="11"/>
  <c r="J43" i="11"/>
  <c r="H39" i="4"/>
  <c r="C43" i="4" s="1"/>
  <c r="I43" i="4" s="1"/>
  <c r="H25" i="4"/>
  <c r="I39" i="4"/>
  <c r="E62" i="6"/>
  <c r="G16" i="7" s="1"/>
  <c r="I16" i="7" s="1"/>
  <c r="H24" i="10"/>
  <c r="L69" i="10"/>
  <c r="F77" i="10" s="1"/>
  <c r="H77" i="10" s="1"/>
  <c r="H23" i="10"/>
  <c r="G80" i="10"/>
  <c r="E14" i="7" s="1"/>
  <c r="F69" i="10"/>
  <c r="H78" i="10" s="1"/>
  <c r="G52" i="5"/>
  <c r="H52" i="5"/>
  <c r="H58" i="5" s="1"/>
  <c r="E15" i="7" s="1"/>
  <c r="I24" i="5"/>
  <c r="G56" i="5"/>
  <c r="I56" i="5" s="1"/>
  <c r="J36" i="4"/>
  <c r="H76" i="4"/>
  <c r="H69" i="4"/>
  <c r="I76" i="4"/>
  <c r="I69" i="4"/>
  <c r="J65" i="4"/>
  <c r="J37" i="4"/>
  <c r="J75" i="4"/>
  <c r="J52" i="4"/>
  <c r="J72" i="4"/>
  <c r="J74" i="4"/>
  <c r="J73" i="4"/>
  <c r="J34" i="4"/>
  <c r="J30" i="4"/>
  <c r="J54" i="4"/>
  <c r="J35" i="4"/>
  <c r="J55" i="4"/>
  <c r="J60" i="4"/>
  <c r="J32" i="4"/>
  <c r="J31" i="4"/>
  <c r="J68" i="4"/>
  <c r="J53" i="4"/>
  <c r="J57" i="4"/>
  <c r="J33" i="4"/>
  <c r="J29" i="4"/>
  <c r="J38" i="4"/>
  <c r="J64" i="4"/>
  <c r="J59" i="4"/>
  <c r="J48" i="4"/>
  <c r="J46" i="4"/>
  <c r="J47" i="4"/>
  <c r="J58" i="4"/>
  <c r="J56" i="4"/>
  <c r="J61" i="4"/>
  <c r="J49" i="4"/>
  <c r="J62" i="4"/>
  <c r="J63" i="4"/>
  <c r="K10" i="9"/>
  <c r="K11" i="9"/>
  <c r="I28" i="9"/>
  <c r="K9" i="9"/>
  <c r="I22" i="5"/>
  <c r="I23" i="5"/>
  <c r="J28" i="4"/>
  <c r="J24" i="4"/>
  <c r="H43" i="4" l="1"/>
  <c r="H83" i="4" s="1"/>
  <c r="C12" i="7" s="1"/>
  <c r="J83" i="11"/>
  <c r="J25" i="4"/>
  <c r="J39" i="4"/>
  <c r="I25" i="4"/>
  <c r="I83" i="4" s="1"/>
  <c r="H69" i="10"/>
  <c r="H80" i="10" s="1"/>
  <c r="G14" i="7" s="1"/>
  <c r="I14" i="7" s="1"/>
  <c r="F80" i="10"/>
  <c r="C14" i="7" s="1"/>
  <c r="G58" i="5"/>
  <c r="C15" i="7" s="1"/>
  <c r="I52" i="5"/>
  <c r="I58" i="5" s="1"/>
  <c r="G15" i="7" s="1"/>
  <c r="I15" i="7" s="1"/>
  <c r="J76" i="4"/>
  <c r="J69" i="4"/>
  <c r="K28" i="9"/>
  <c r="G11" i="3"/>
  <c r="H11" i="3" s="1"/>
  <c r="G12" i="3"/>
  <c r="H12" i="3" s="1"/>
  <c r="G13" i="3"/>
  <c r="H13" i="3" s="1"/>
  <c r="G14" i="3"/>
  <c r="H14" i="3" s="1"/>
  <c r="G15" i="3"/>
  <c r="H15" i="3" s="1"/>
  <c r="G10" i="3"/>
  <c r="H10" i="3" s="1"/>
  <c r="J43" i="4" l="1"/>
  <c r="J83" i="4" s="1"/>
  <c r="G12" i="7" s="1"/>
  <c r="I12" i="7" s="1"/>
  <c r="E12" i="7"/>
  <c r="E18" i="7" s="1"/>
  <c r="C18" i="7"/>
  <c r="G18" i="7" l="1"/>
  <c r="I1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Raif Barnes</author>
  </authors>
  <commentList>
    <comment ref="G18" authorId="0" shapeId="0" xr:uid="{D610E253-A7B4-481A-B943-E2F7599CE107}">
      <text>
        <r>
          <rPr>
            <b/>
            <sz val="9"/>
            <color indexed="81"/>
            <rFont val="Tahoma"/>
            <family val="2"/>
          </rPr>
          <t>Raif Barnes:</t>
        </r>
        <r>
          <rPr>
            <sz val="9"/>
            <color indexed="81"/>
            <rFont val="Tahoma"/>
            <family val="2"/>
          </rPr>
          <t xml:space="preserve">
£20</t>
        </r>
      </text>
    </comment>
  </commentList>
</comments>
</file>

<file path=xl/sharedStrings.xml><?xml version="1.0" encoding="utf-8"?>
<sst xmlns="http://schemas.openxmlformats.org/spreadsheetml/2006/main" count="400" uniqueCount="252">
  <si>
    <t>Estimated monthly income for 2025/26</t>
  </si>
  <si>
    <t>Pharmacy owners can input their specific pharmacy details into the green boxes</t>
  </si>
  <si>
    <t>below for a personalised monthly income estimate.</t>
  </si>
  <si>
    <t>Inputs</t>
  </si>
  <si>
    <t>Average items per month</t>
  </si>
  <si>
    <t>SAFs</t>
  </si>
  <si>
    <t>Other dispensing fees</t>
  </si>
  <si>
    <t>Estimated average buying profit</t>
  </si>
  <si>
    <t>NMS per month (part 1)</t>
  </si>
  <si>
    <t>NMS per month (part 2)</t>
  </si>
  <si>
    <t>HCFS clinic checks per month</t>
  </si>
  <si>
    <t>HCFS ABPM per month</t>
  </si>
  <si>
    <t>PCS repeat consultations per month</t>
  </si>
  <si>
    <t>PCS initiation consultations per month</t>
  </si>
  <si>
    <t>EHC consultations per month</t>
  </si>
  <si>
    <t>PF - UMS per month</t>
  </si>
  <si>
    <t>PF - MI per month</t>
  </si>
  <si>
    <t>PF Clinical pathways consults per month</t>
  </si>
  <si>
    <t>Pharmacy First fixed payment</t>
  </si>
  <si>
    <t>DMS per month</t>
  </si>
  <si>
    <t>AUR consultations per month</t>
  </si>
  <si>
    <t>Stoma customisations per month</t>
  </si>
  <si>
    <t>Smoking cessations patients per month</t>
  </si>
  <si>
    <t>Note on service caps</t>
  </si>
  <si>
    <t>This calculator assumes all input values fall within the pharmacy's cap and are therefore remunerated.</t>
  </si>
  <si>
    <t>Please refer to the Drug Tariff / information published by NHSBSA if you are unsure of any caps or</t>
  </si>
  <si>
    <t>allowances for your pharmacy.</t>
  </si>
  <si>
    <t>min £ per point</t>
  </si>
  <si>
    <t>lower</t>
  </si>
  <si>
    <t>upper</t>
  </si>
  <si>
    <t>points</t>
  </si>
  <si>
    <t>total</t>
  </si>
  <si>
    <t>pcm</t>
  </si>
  <si>
    <t>Business Rates</t>
  </si>
  <si>
    <t>2024/25</t>
  </si>
  <si>
    <t>2025/26</t>
  </si>
  <si>
    <t>Unit Rate</t>
  </si>
  <si>
    <t>Monthly Income</t>
  </si>
  <si>
    <t>Future changes</t>
  </si>
  <si>
    <t>From October Pharmacy First fixed payment to require 1 Hypertension consults to qualify - can we base this off row 15?</t>
  </si>
  <si>
    <t>concerns over accuracy of this line</t>
  </si>
  <si>
    <t>From March 2026 Pharmacy First fixed payment to require 1 Conraception consults to qualify - criteria not yet agreed. Possibly based off rows 16/17?</t>
  </si>
  <si>
    <t>Essential Service payments - Community Pharmacy England</t>
  </si>
  <si>
    <t>Hypertension Case-Finding Service - Community Pharmacy England</t>
  </si>
  <si>
    <t>Pharmacy Contraception Service (PCS) - Community Pharmacy England</t>
  </si>
  <si>
    <t>New Medicine Service (NMS) - Community Pharmacy England</t>
  </si>
  <si>
    <t>Pharmacy First service - Community Pharmacy England</t>
  </si>
  <si>
    <t>Change</t>
  </si>
  <si>
    <t>Agreed Margin (£million)</t>
  </si>
  <si>
    <t>Forecasted items (£million)</t>
  </si>
  <si>
    <t>Other dispensing fees (£million)</t>
  </si>
  <si>
    <t>not sure if this description is accurate</t>
  </si>
  <si>
    <r>
      <t>202</t>
    </r>
    <r>
      <rPr>
        <sz val="11"/>
        <color rgb="FFFF0000"/>
        <rFont val="Calibri"/>
        <family val="2"/>
        <scheme val="minor"/>
      </rPr>
      <t>3</t>
    </r>
    <r>
      <rPr>
        <sz val="11"/>
        <color theme="1"/>
        <rFont val="Calibri"/>
        <family val="2"/>
        <scheme val="minor"/>
      </rPr>
      <t>/2</t>
    </r>
    <r>
      <rPr>
        <sz val="11"/>
        <color rgb="FFFF0000"/>
        <rFont val="Calibri"/>
        <family val="2"/>
        <scheme val="minor"/>
      </rPr>
      <t>4</t>
    </r>
  </si>
  <si>
    <t>figure for 2024/25 was £850m; not sure what the forecast items were for that period</t>
  </si>
  <si>
    <t>Rent / Mortgage costs</t>
  </si>
  <si>
    <t>Revenue Changes</t>
  </si>
  <si>
    <t>Net Change</t>
  </si>
  <si>
    <t>Total no. staff</t>
  </si>
  <si>
    <t>Earners under £9,100 (listed)</t>
  </si>
  <si>
    <t>Rod</t>
  </si>
  <si>
    <t>Jane</t>
  </si>
  <si>
    <t>Freddie</t>
  </si>
  <si>
    <t>Old NI</t>
  </si>
  <si>
    <t>New NI</t>
  </si>
  <si>
    <t>Total employers NI cost</t>
  </si>
  <si>
    <t>Revenue type</t>
  </si>
  <si>
    <t>Additional information</t>
  </si>
  <si>
    <t>Total Other Costs</t>
  </si>
  <si>
    <t>Monthly Values</t>
  </si>
  <si>
    <t>Monthly Costs</t>
  </si>
  <si>
    <t>Total annual salary bill</t>
  </si>
  <si>
    <t>Threshold for employer NI payments</t>
  </si>
  <si>
    <t>Employer NI payment rate</t>
  </si>
  <si>
    <t>£500 element to Pharmacy First fixed payment removed for this version - effective from June 2025</t>
  </si>
  <si>
    <t>Can we find the Estimated average buying profit for 2024/25? We have 2023/24 and 2025/26, and we know the profit is £850k</t>
  </si>
  <si>
    <t>Average buying profit</t>
  </si>
  <si>
    <t>Select % of average profit</t>
  </si>
  <si>
    <t>Select % of Average Buying Profit</t>
  </si>
  <si>
    <t>shall we remove these elements where there are no changes?</t>
  </si>
  <si>
    <t>EHC consultations per month to be hidden - effective October 2025</t>
  </si>
  <si>
    <r>
      <t xml:space="preserve">assumes full service provided - can be split in to three elements - </t>
    </r>
    <r>
      <rPr>
        <sz val="11"/>
        <color rgb="FFFF0000"/>
        <rFont val="Calibri"/>
        <family val="2"/>
        <scheme val="minor"/>
      </rPr>
      <t>yes</t>
    </r>
  </si>
  <si>
    <t>Professional Fees</t>
  </si>
  <si>
    <t>Measured and Fitted Fee for elastic hosiery, trusses and para stomal garments</t>
  </si>
  <si>
    <t>Home delivery of Part IXA qualifying items (excluding catheter kits and intermittent self-catheters), Part IXB and Part IXC</t>
  </si>
  <si>
    <t>Home delivery of catheter kits and intermittent self-catheters</t>
  </si>
  <si>
    <t>Oral liquid methadone</t>
  </si>
  <si>
    <t>Oral liquid methadone covers more than one dose and the contractor has packaged each dose separately with PD endorsement</t>
  </si>
  <si>
    <t>Controlled Drugs Schedule 2</t>
  </si>
  <si>
    <t>Controlled Drugs Schedule 3</t>
  </si>
  <si>
    <t>Serious Shortage Protocol</t>
  </si>
  <si>
    <t>Consumables</t>
  </si>
  <si>
    <t xml:space="preserve">Container </t>
  </si>
  <si>
    <t>Seasonal Services</t>
  </si>
  <si>
    <t>COVID (per vaccine)</t>
  </si>
  <si>
    <t>TOTAL PROFESSIONAL FEE REVENUE</t>
  </si>
  <si>
    <t>TOTAL SEASONAL SERVICES REVENUE</t>
  </si>
  <si>
    <t>TOTAL REVENUE</t>
  </si>
  <si>
    <t>Alongside this the rate of contribution has increased. These changes are shown in the table below</t>
  </si>
  <si>
    <t>Salary</t>
  </si>
  <si>
    <t>Name</t>
  </si>
  <si>
    <t>Earners over £9,100 (calculated)</t>
  </si>
  <si>
    <t>No. staff</t>
  </si>
  <si>
    <t>Total Salary</t>
  </si>
  <si>
    <t>This section calculates the increased NI liability for your remaining staff - no input is necessary</t>
  </si>
  <si>
    <t>Utilities</t>
  </si>
  <si>
    <t>Other business costs</t>
  </si>
  <si>
    <t>Cost increase</t>
  </si>
  <si>
    <t>Increase</t>
  </si>
  <si>
    <t>Revenue</t>
  </si>
  <si>
    <t>Employers NI</t>
  </si>
  <si>
    <t>Other Costs</t>
  </si>
  <si>
    <t>For the 2025/26 tax year the National Minimum / National Living Wage has increased as shown in the table below.</t>
  </si>
  <si>
    <t>Please input your total number of employees and total annual salary bill in the boxes below</t>
  </si>
  <si>
    <t>Old Salary</t>
  </si>
  <si>
    <t>New Salary</t>
  </si>
  <si>
    <t>2025/26 rate</t>
  </si>
  <si>
    <t>Bungle</t>
  </si>
  <si>
    <t>George</t>
  </si>
  <si>
    <t>Zippy</t>
  </si>
  <si>
    <t>2024/25 rate</t>
  </si>
  <si>
    <t>Hours / week</t>
  </si>
  <si>
    <t xml:space="preserve">Please list all employees paid at the National Minimum / National Living Wage along with the number of hours worked per week. </t>
  </si>
  <si>
    <t>The 2024/25 rate will be pulled through automatically to match the 2025/26 rate, but can be overtyped if required.</t>
  </si>
  <si>
    <t>The impact of the changes in employer NI will be calculated on the next tab</t>
  </si>
  <si>
    <t>Employer pension contribution</t>
  </si>
  <si>
    <t>Total impact of changes to NLW / NMW</t>
  </si>
  <si>
    <t>Annual salaries</t>
  </si>
  <si>
    <t>Annual employers NI</t>
  </si>
  <si>
    <t>Pharmacy Services</t>
  </si>
  <si>
    <t>National Living Wage (mandatory for 21+ years old)</t>
  </si>
  <si>
    <t>National Minimum Wage (mandatory for 18-20 years old)</t>
  </si>
  <si>
    <t>National Minimum Wage (mandatory for 16-17 years old)</t>
  </si>
  <si>
    <t>This section calculates the increased NI and pension liability for your staff, assuming the legal minimum NEST pension scheme contribution of 3%</t>
  </si>
  <si>
    <t>to amend these figures click here</t>
  </si>
  <si>
    <t>National Minimum / Living Wage</t>
  </si>
  <si>
    <t>How to complete the form</t>
  </si>
  <si>
    <t>Notes on the form</t>
  </si>
  <si>
    <t>The orange highlighted cells are based on the 2023/24 contract not 2024/25; figures for 2024/25 are not available</t>
  </si>
  <si>
    <t>This calculator assumes all input values fall within the pharmacy's cap and are therefore remunerated. Please refer to the Drug Tariff / information published by NHSBSA if you are unsure of any caps or allowances for your pharmacy</t>
  </si>
  <si>
    <t>Calculator to estimate monthly income for 2025/26 and compare to 2024/25</t>
  </si>
  <si>
    <t>Calculator to estimate the impact of the increase in National Minimum / Living Wage</t>
  </si>
  <si>
    <t>Calculator to estimate the impact of the increase in employer NI contributions</t>
  </si>
  <si>
    <t>Please enter any other business costs that you wish to track below</t>
  </si>
  <si>
    <t>Value</t>
  </si>
  <si>
    <t>% of target for full service</t>
  </si>
  <si>
    <t>0%-10%</t>
  </si>
  <si>
    <t>10%-20%</t>
  </si>
  <si>
    <t>20%-30%</t>
  </si>
  <si>
    <t>30%-40%</t>
  </si>
  <si>
    <t>40%-90%</t>
  </si>
  <si>
    <t>Smoking cessations patients per month (Interim consultation)</t>
  </si>
  <si>
    <t>Smoking cessations patients per month (Last consultation)</t>
  </si>
  <si>
    <t>Smoking cessations patients per month (First consultation)</t>
  </si>
  <si>
    <t>Please enter your details in the yellow cells below to create an estimate of monthly revenue</t>
  </si>
  <si>
    <t>Please select the appropriate percentage for your pharmacy from the green drop down boxes</t>
  </si>
  <si>
    <t>Monthly financial impact of changes between 2024/25 and 2025/26</t>
  </si>
  <si>
    <t>Notes on the model</t>
  </si>
  <si>
    <t>The following payments are not included in the model:</t>
  </si>
  <si>
    <t>Pharmacy Access Scheme (PhAS) payments</t>
  </si>
  <si>
    <t>Locally agreed contracts are not included</t>
  </si>
  <si>
    <t>Payments for the first and second 5 consultations under PCS</t>
  </si>
  <si>
    <t>Lateral Flow Device (LFD) Service per month</t>
  </si>
  <si>
    <t>TOTAL PHARMACY SERVICES REVENUE</t>
  </si>
  <si>
    <t>Flu (per vaccine)</t>
  </si>
  <si>
    <t>COVID (additional housebound vaccination fee excluding care home vaccinations)</t>
  </si>
  <si>
    <t>COVID (additional where the seasonal influenza vaccination is not announced)</t>
  </si>
  <si>
    <t>TOTAL OTHER DISPENSING FEE REVENUE</t>
  </si>
  <si>
    <t>The model is focused on profitability and does not reflect any impact on cash flow for your business.</t>
  </si>
  <si>
    <t>Unlicensed medicines with endorsement SP or ED</t>
  </si>
  <si>
    <t>If you have more than 10 employees please click on the "+" sign to the left of row 69, which will provide space for up to 50 employees</t>
  </si>
  <si>
    <t>If you need to add more costs please click on the "+" sign to the left of row 62, which will provide space for up to 50 cost lines</t>
  </si>
  <si>
    <t>Applicane Use Review (AUR) consultations per month (patient home)</t>
  </si>
  <si>
    <t>Appliance Use Review (AUR) consultations per month (premises / phone / video)</t>
  </si>
  <si>
    <t>Hypertension Case-Finding Service (HCFS) clinic checks per month</t>
  </si>
  <si>
    <t>Hypertension Case-Finding Service (HCFS) Ambulatory Blood Pressure Monitoring (ABPM) per month</t>
  </si>
  <si>
    <t>New Medicine Service (NMS) (2024/25 model - quantity)</t>
  </si>
  <si>
    <t>New Medicine Service (NMS) per month (intervention)</t>
  </si>
  <si>
    <t>New Medicine Service (NMS) per month (follow up)</t>
  </si>
  <si>
    <t>Discharge Medicine Service (DMS) per month (full service)</t>
  </si>
  <si>
    <t>Discharge Medicine Service (DMS) per month (stage 1)</t>
  </si>
  <si>
    <t>Discharge Medicine Service (DMS) per month (stage 2)</t>
  </si>
  <si>
    <t>Discharge Medicine Service (DMS) per month (stage 3)</t>
  </si>
  <si>
    <r>
      <t xml:space="preserve">New Medicine Service (NMS) (2024/25 model - % of target for full service) </t>
    </r>
    <r>
      <rPr>
        <sz val="11"/>
        <color rgb="FFFF0000"/>
        <rFont val="Roboto"/>
      </rPr>
      <t>please select the appropriate % from the dropdown box ----&gt;</t>
    </r>
  </si>
  <si>
    <r>
      <t xml:space="preserve">SAFs </t>
    </r>
    <r>
      <rPr>
        <sz val="11"/>
        <color rgb="FFFF0000"/>
        <rFont val="Roboto"/>
      </rPr>
      <t>input average items per month -------------------------------------------------------------------------------------------------------------------------------------------------------&gt;</t>
    </r>
  </si>
  <si>
    <t>Pharmacy First - Clinical Pathways consultations per month</t>
  </si>
  <si>
    <t>Pharmacy First - Urgent Medicine Supply (UMS) consultations per month</t>
  </si>
  <si>
    <t>Pharmacy First - Minor Illness (MI) consultations per month</t>
  </si>
  <si>
    <t>Pharmacy Contraception Service (PCS) repeat consultations per month</t>
  </si>
  <si>
    <t>Pharmacy Contraception Service (PCS) initiation consultations per month</t>
  </si>
  <si>
    <t>Other Revenues</t>
  </si>
  <si>
    <t>Private Services</t>
  </si>
  <si>
    <t>Over The Counter (OTC) Sales</t>
  </si>
  <si>
    <t>TOTAL OTHER REVENUES</t>
  </si>
  <si>
    <t>The NPA has created a model to assist in estimating how the various financial changes introduced for the 2025/26 tax year may affect your business’s profitability.</t>
  </si>
  <si>
    <t>The model looks at:</t>
  </si>
  <si>
    <t>Pharmacy Quality Scheme (PQS) payments</t>
  </si>
  <si>
    <t>Set up fees for Hypertension Case Finding Service (HCFS), Pharmacy Contraception Service (PCS) and Smoking Cessation Service (SCS) services</t>
  </si>
  <si>
    <t>How to use the Revenue tab</t>
  </si>
  <si>
    <t>Adjust the estimated average buying profit if your actual performance differs from the average, to ensure a more accurate projection of your buying profit. For example, if you are getting below average buying profit, please select a value of 75% or below, whereas if you a getting a higher than average buying profit, please select a value of 125% or above.</t>
  </si>
  <si>
    <t>Input the data for your service provision from the MYS submission form to column C for the Pharmacy Services and Seasonal Services sections</t>
  </si>
  <si>
    <t>This table summarises the overall impact of the financial changes input over the following four tabs</t>
  </si>
  <si>
    <t>Changes in revenue from the new funding agreement</t>
  </si>
  <si>
    <t>Changes in cost from new rates and limits for employers National Insurance (NI) and the National Living/Minimum Wage</t>
  </si>
  <si>
    <t>Changes to other costs such as business rates and rental or mortgage costs can also be included</t>
  </si>
  <si>
    <t>https://www.nhsbsa.nhs.uk/sites/default/files/2025-03/Understanding%20your%20Schedule%20of%20Payments%20-%20Pharmacy%20contractor%20October%2724%20Schedule.pdf</t>
  </si>
  <si>
    <t xml:space="preserve">An example FP34 can be downloaded from the link below: </t>
  </si>
  <si>
    <t>Input data from the ‘Drug and Appliance costs’ and ‘Prescription fees’ sections of the FP34 Schedule of Payments or eSchedule into Columns H or I of the Other Dispensing Fees section from Row 30 to 41.</t>
  </si>
  <si>
    <r>
      <t xml:space="preserve">Input your average items per month from the MYS submission form to column C17 and C18 for the Single Activity Fees (SAFs) and Other dispensing fees </t>
    </r>
    <r>
      <rPr>
        <sz val="11"/>
        <color rgb="FFFF0000"/>
        <rFont val="Roboto"/>
      </rPr>
      <t>should this be changed if this is for comparison purposes?</t>
    </r>
  </si>
  <si>
    <t>The notes below give some guidance on what is included within the model.</t>
  </si>
  <si>
    <t>Instructions on how to enter data are included on the individual tabs.</t>
  </si>
  <si>
    <r>
      <t xml:space="preserve">Other Dispensing Fees </t>
    </r>
    <r>
      <rPr>
        <sz val="11"/>
        <color rgb="FFFF0000"/>
        <rFont val="Roboto"/>
      </rPr>
      <t>input details from FP34 to compare the total to the estimated value in Row 25</t>
    </r>
  </si>
  <si>
    <t>DRUG AND APPLIANCE COSTS</t>
  </si>
  <si>
    <t>Out of Pocket expenses</t>
  </si>
  <si>
    <t>Payment for consumables</t>
  </si>
  <si>
    <t>Payment for containers</t>
  </si>
  <si>
    <t>PRESCRIPTION FEES</t>
  </si>
  <si>
    <t>2A unlicensed medicines</t>
  </si>
  <si>
    <t>2B appliances - measured and fitted</t>
  </si>
  <si>
    <t>2E controlled drug schedules 2 and 3</t>
  </si>
  <si>
    <t>Methadone payment</t>
  </si>
  <si>
    <t>2F expensive presciption fees</t>
  </si>
  <si>
    <t>Manually priced</t>
  </si>
  <si>
    <t>SSP Remuneration</t>
  </si>
  <si>
    <t>2B appliances - home delivery</t>
  </si>
  <si>
    <r>
      <t xml:space="preserve">Estimated average buying profit * </t>
    </r>
    <r>
      <rPr>
        <sz val="11"/>
        <color rgb="FFFF0000"/>
        <rFont val="Roboto"/>
      </rPr>
      <t>please estimate how well you perform compared to the average pharmacy--------------------------------------&gt;</t>
    </r>
  </si>
  <si>
    <t xml:space="preserve">* unit rates taken from CPE Indiciative Income Calculator available here: </t>
  </si>
  <si>
    <t>https://cpe.org.uk/wp-content/uploads/2025/03/Indicative-Income-Calculator-2025-26-comparative-v3.xlsx</t>
  </si>
  <si>
    <r>
      <t xml:space="preserve">Other dispensing fees * </t>
    </r>
    <r>
      <rPr>
        <sz val="11"/>
        <color rgb="FFFF0000"/>
        <rFont val="Roboto"/>
      </rPr>
      <t>input average items per month --------------------------------------------------------------------------------------------------------------------------&gt;</t>
    </r>
  </si>
  <si>
    <r>
      <t xml:space="preserve">Estimated average buying profit *  </t>
    </r>
    <r>
      <rPr>
        <sz val="11"/>
        <color rgb="FFFF0000"/>
        <rFont val="Roboto"/>
      </rPr>
      <t>please select the appropriate % from the dropdown box -------------------------------------------------------------------&gt;</t>
    </r>
  </si>
  <si>
    <r>
      <t xml:space="preserve">Other Dispensing Fees </t>
    </r>
    <r>
      <rPr>
        <sz val="11"/>
        <color rgb="FFFF0000"/>
        <rFont val="Roboto"/>
      </rPr>
      <t>input details from your PMR system / daily records</t>
    </r>
  </si>
  <si>
    <t>Expensive presciption fees are not included</t>
  </si>
  <si>
    <t>National Pharmacy Association Pharmacy Funding Impact Calculator</t>
  </si>
  <si>
    <t>v1.0 - MAY 2025</t>
  </si>
  <si>
    <t>Other dispensing fees *</t>
  </si>
  <si>
    <t>Other Dispensing Fees can be entered in one of two ways:</t>
  </si>
  <si>
    <t>Input your average items per month from the MYS submission form to cell C23 for the Single Activity Fees (SAFs).</t>
  </si>
  <si>
    <t>Adjust the estimated average buying profit if you believe your actual performance differs from the average, to ensure a more accurate projection of your buying profit. For example, if you estimate that you are getting below average buying profit, please select a value of 75% or below, whereas if you estiamte that you are getting a higher than average buying profit, please select a value of 125% or above.</t>
  </si>
  <si>
    <t>Input details from your PMR system / daily records for the Other Dispensing Fees (starting row 28). If this information is not available leave this section blank and the model will estimate your Other Dispensing Fees based on the items per month entered in cell C23.</t>
  </si>
  <si>
    <r>
      <t xml:space="preserve">Other Revenues </t>
    </r>
    <r>
      <rPr>
        <sz val="11"/>
        <color rgb="FFFF0000"/>
        <rFont val="Roboto"/>
      </rPr>
      <t>input £ values rather than quantities for these items</t>
    </r>
  </si>
  <si>
    <t>If your business makes a different contribution please enter it here:</t>
  </si>
  <si>
    <t>For the 2025/26 tax year the threshold at which employers must make NI contributions for their employees has decreased, resulting in an increased cost to your business.</t>
  </si>
  <si>
    <t>Please list out the salaries of any staff who earn under the OLD threshold (£9,100), as Employers NI contributions may now be payable for these employees</t>
  </si>
  <si>
    <t>https://cpe.org.uk/funding-and-reimbursement/pharmacy-funding/funding-distribution/indicative-income-tables/</t>
  </si>
  <si>
    <t xml:space="preserve">Estimated average buying profit is derived from the total agreed margin (£900m for 2025/26) divided by the forecasted items (c1,209m for 2025/26), and is intended only as a guide. </t>
  </si>
  <si>
    <t>If you have a detailed breakdown available from your PMR system or your own daily records you can enter these in rows 28-38 of the Revenue tab</t>
  </si>
  <si>
    <t>If you do not have this data available you can enter the number of items dispensed in row 43 of the Revenue tab and this will provide an estimate of the fees and allowances payable, excluding the SSP fee.</t>
  </si>
  <si>
    <r>
      <t xml:space="preserve">SAFs </t>
    </r>
    <r>
      <rPr>
        <sz val="11"/>
        <color rgb="FFFF0000"/>
        <rFont val="Roboto"/>
      </rPr>
      <t>input average items per month from MYS submission form-----------------------------------------------------------------------------------------------------------&gt;</t>
    </r>
  </si>
  <si>
    <t>If you have included values within rows 28-38 the line below will not form part of your revenue total</t>
  </si>
  <si>
    <r>
      <rPr>
        <b/>
        <sz val="11"/>
        <color rgb="FFFF0000"/>
        <rFont val="Roboto"/>
      </rPr>
      <t>OR</t>
    </r>
    <r>
      <rPr>
        <b/>
        <sz val="11"/>
        <color rgb="FF0070C0"/>
        <rFont val="Roboto"/>
      </rPr>
      <t xml:space="preserve"> if you do not have a detailed monthly breakdown of your other dispensed items the line below will estimate your fees. </t>
    </r>
  </si>
  <si>
    <t>The service fees may not take into account the reimbursement of items supplied.</t>
  </si>
  <si>
    <t>Discount deductions are not included in the model because reimbursement of specific items has not been included.</t>
  </si>
  <si>
    <t xml:space="preserve">Unit rates used in the Revenue tab to estimate this and the Other Dispensing Fees are taken from the CPE Indicative Income Calculator 2025/26 and 2023/24 available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</si>
</sst>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3" formatCode="_-* #,##0.00_-;\-* #,##0.00_-;_-* &quot;-&quot;??_-;_-@_-"/>
    <numFmt numFmtId="164" formatCode="_-* #,##0_-;\-* #,##0_-;_-* &quot;-&quot;??_-;_-@_-"/>
    <numFmt numFmtId="165" formatCode="&quot;£&quot;#,##0.00"/>
    <numFmt numFmtId="166" formatCode="&quot;£&quot;#,##0"/>
    <numFmt numFmtId="167" formatCode="&quot;£&quot;#,##0.0"/>
    <numFmt numFmtId="168" formatCode="0.0%"/>
    <numFmt numFmtId="169" formatCode="#,##0.0"/>
  </numFmts>
  <fonts count="23" x14ac:knownFonts="1">
    <font>
      <sz val="11"/>
      <color theme="1"/>
      <name val="Calibri"/>
      <family val="2"/>
      <scheme val="minor"/>
    </font>
    <font>
      <sz val="11"/>
      <color theme="1"/>
      <name val="Calibri"/>
      <family val="2"/>
      <scheme val="minor"/>
    </font>
    <font>
      <b/>
      <sz val="16"/>
      <color theme="1"/>
      <name val="Calibri"/>
      <family val="2"/>
      <scheme val="minor"/>
    </font>
    <font>
      <b/>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8"/>
      <name val="Calibri"/>
      <family val="2"/>
      <scheme val="minor"/>
    </font>
    <font>
      <sz val="11"/>
      <color rgb="FFFF0000"/>
      <name val="Calibri"/>
      <family val="2"/>
      <scheme val="minor"/>
    </font>
    <font>
      <b/>
      <sz val="11"/>
      <color rgb="FFFF0000"/>
      <name val="Calibri"/>
      <family val="2"/>
      <scheme val="minor"/>
    </font>
    <font>
      <b/>
      <u/>
      <sz val="16"/>
      <color rgb="FF0070C0"/>
      <name val="Roboto"/>
    </font>
    <font>
      <sz val="11"/>
      <color theme="1"/>
      <name val="Roboto"/>
    </font>
    <font>
      <sz val="11"/>
      <color rgb="FF0070C0"/>
      <name val="Roboto"/>
    </font>
    <font>
      <b/>
      <sz val="11"/>
      <color theme="1"/>
      <name val="Roboto"/>
    </font>
    <font>
      <b/>
      <sz val="11"/>
      <color rgb="FF0070C0"/>
      <name val="Roboto"/>
    </font>
    <font>
      <sz val="11"/>
      <color rgb="FF00B050"/>
      <name val="Roboto"/>
    </font>
    <font>
      <b/>
      <sz val="11"/>
      <color rgb="FF00B050"/>
      <name val="Roboto"/>
    </font>
    <font>
      <b/>
      <sz val="16"/>
      <color rgb="FF0070C0"/>
      <name val="Roboto"/>
    </font>
    <font>
      <sz val="11"/>
      <color rgb="FFFF0000"/>
      <name val="Roboto"/>
    </font>
    <font>
      <u/>
      <sz val="11"/>
      <color theme="10"/>
      <name val="Roboto"/>
    </font>
    <font>
      <b/>
      <sz val="11"/>
      <color theme="9" tint="0.39997558519241921"/>
      <name val="Roboto"/>
    </font>
    <font>
      <u/>
      <sz val="11"/>
      <color rgb="FF0070C0"/>
      <name val="Roboto"/>
    </font>
    <font>
      <b/>
      <sz val="11"/>
      <color rgb="FFFF0000"/>
      <name val="Roboto"/>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darkDown">
        <fgColor rgb="FFFFC5C5"/>
        <bgColor theme="0"/>
      </patternFill>
    </fill>
    <fill>
      <patternFill patternType="darkDown">
        <bgColor theme="0"/>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2" tint="-0.249977111117893"/>
        <bgColor indexed="64"/>
      </patternFill>
    </fill>
    <fill>
      <patternFill patternType="solid">
        <fgColor theme="5" tint="0.59999389629810485"/>
        <bgColor indexed="64"/>
      </patternFill>
    </fill>
    <fill>
      <patternFill patternType="darkGrid">
        <bgColor theme="0"/>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mediumDashed">
        <color indexed="64"/>
      </right>
      <top style="mediumDashed">
        <color indexed="64"/>
      </top>
      <bottom style="mediumDashed">
        <color indexed="64"/>
      </bottom>
      <diagonal/>
    </border>
    <border>
      <left/>
      <right style="mediumDashed">
        <color indexed="64"/>
      </right>
      <top/>
      <bottom style="mediumDashed">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medium">
        <color rgb="FF00B050"/>
      </left>
      <right style="medium">
        <color rgb="FF00B050"/>
      </right>
      <top style="medium">
        <color rgb="FF00B050"/>
      </top>
      <bottom style="medium">
        <color rgb="FF00B050"/>
      </bottom>
      <diagonal/>
    </border>
    <border>
      <left/>
      <right style="medium">
        <color rgb="FF00B050"/>
      </right>
      <top/>
      <bottom/>
      <diagonal/>
    </border>
    <border>
      <left/>
      <right/>
      <top/>
      <bottom style="medium">
        <color rgb="FF00B050"/>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medium">
        <color rgb="FF00B050"/>
      </left>
      <right style="medium">
        <color rgb="FF00B050"/>
      </right>
      <top style="medium">
        <color rgb="FF00B050"/>
      </top>
      <bottom/>
      <diagonal/>
    </border>
    <border>
      <left/>
      <right style="medium">
        <color rgb="FF00B050"/>
      </right>
      <top style="medium">
        <color rgb="FF00B050"/>
      </top>
      <bottom style="medium">
        <color rgb="FF00B050"/>
      </bottom>
      <diagonal/>
    </border>
    <border>
      <left/>
      <right style="medium">
        <color rgb="FF00B050"/>
      </right>
      <top style="medium">
        <color rgb="FF00B050"/>
      </top>
      <bottom/>
      <diagonal/>
    </border>
    <border>
      <left/>
      <right/>
      <top style="medium">
        <color rgb="FF00B050"/>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218">
    <xf numFmtId="0" fontId="0" fillId="0" borderId="0" xfId="0"/>
    <xf numFmtId="0" fontId="0" fillId="2" borderId="0" xfId="0" applyFill="1"/>
    <xf numFmtId="0" fontId="0" fillId="2" borderId="0" xfId="0" applyFill="1" applyAlignment="1">
      <alignment horizontal="right"/>
    </xf>
    <xf numFmtId="166" fontId="0" fillId="2" borderId="0" xfId="1" applyNumberFormat="1" applyFont="1" applyFill="1"/>
    <xf numFmtId="165" fontId="0" fillId="2" borderId="0" xfId="0" applyNumberFormat="1" applyFill="1"/>
    <xf numFmtId="164" fontId="0" fillId="2" borderId="0" xfId="1" applyNumberFormat="1" applyFont="1" applyFill="1"/>
    <xf numFmtId="166" fontId="0" fillId="2" borderId="3" xfId="0" applyNumberFormat="1" applyFill="1" applyBorder="1"/>
    <xf numFmtId="166" fontId="0" fillId="2" borderId="1" xfId="0" applyNumberFormat="1" applyFill="1" applyBorder="1"/>
    <xf numFmtId="0" fontId="2" fillId="4" borderId="0" xfId="0" applyFont="1" applyFill="1"/>
    <xf numFmtId="0" fontId="0" fillId="4" borderId="0" xfId="0" applyFill="1"/>
    <xf numFmtId="0" fontId="0" fillId="4" borderId="0" xfId="0" applyFill="1" applyBorder="1"/>
    <xf numFmtId="0" fontId="0" fillId="2" borderId="0" xfId="0" applyFill="1" applyBorder="1"/>
    <xf numFmtId="0" fontId="3" fillId="2" borderId="6" xfId="0" applyFont="1" applyFill="1" applyBorder="1" applyAlignment="1">
      <alignment horizontal="right"/>
    </xf>
    <xf numFmtId="166" fontId="0" fillId="2" borderId="7" xfId="0" applyNumberFormat="1" applyFill="1" applyBorder="1"/>
    <xf numFmtId="166" fontId="0" fillId="2" borderId="6" xfId="0" applyNumberFormat="1" applyFill="1" applyBorder="1"/>
    <xf numFmtId="165" fontId="0" fillId="2" borderId="3" xfId="0" applyNumberFormat="1" applyFill="1" applyBorder="1"/>
    <xf numFmtId="166" fontId="0" fillId="2" borderId="0" xfId="0" applyNumberFormat="1" applyFill="1" applyBorder="1"/>
    <xf numFmtId="165" fontId="0" fillId="7" borderId="3" xfId="0" applyNumberFormat="1" applyFill="1" applyBorder="1"/>
    <xf numFmtId="165" fontId="0" fillId="0" borderId="3" xfId="0" applyNumberFormat="1" applyFill="1" applyBorder="1"/>
    <xf numFmtId="6" fontId="0" fillId="2" borderId="3" xfId="0" applyNumberFormat="1" applyFill="1" applyBorder="1"/>
    <xf numFmtId="167" fontId="0" fillId="2" borderId="0" xfId="0" applyNumberFormat="1" applyFill="1"/>
    <xf numFmtId="0" fontId="3" fillId="2" borderId="0" xfId="0" applyFont="1" applyFill="1" applyBorder="1"/>
    <xf numFmtId="166" fontId="0" fillId="2" borderId="2" xfId="0" applyNumberFormat="1" applyFill="1" applyBorder="1"/>
    <xf numFmtId="0" fontId="3" fillId="2" borderId="3" xfId="0" applyFont="1" applyFill="1" applyBorder="1" applyAlignment="1">
      <alignment horizontal="right"/>
    </xf>
    <xf numFmtId="0" fontId="8" fillId="2" borderId="0" xfId="0" applyFont="1" applyFill="1"/>
    <xf numFmtId="0" fontId="0" fillId="2" borderId="1" xfId="0" applyFill="1" applyBorder="1"/>
    <xf numFmtId="0" fontId="3" fillId="9" borderId="4" xfId="0" applyFont="1" applyFill="1" applyBorder="1" applyAlignment="1">
      <alignment horizontal="right"/>
    </xf>
    <xf numFmtId="0" fontId="3" fillId="9" borderId="5" xfId="0" applyFont="1" applyFill="1" applyBorder="1" applyAlignment="1">
      <alignment horizontal="right"/>
    </xf>
    <xf numFmtId="0" fontId="0" fillId="2" borderId="8" xfId="0" applyFill="1" applyBorder="1"/>
    <xf numFmtId="0" fontId="0" fillId="2" borderId="2" xfId="0" applyFill="1" applyBorder="1"/>
    <xf numFmtId="164" fontId="3" fillId="5" borderId="9" xfId="1" applyNumberFormat="1" applyFont="1" applyFill="1" applyBorder="1"/>
    <xf numFmtId="164" fontId="3" fillId="6" borderId="9" xfId="1" applyNumberFormat="1" applyFont="1" applyFill="1" applyBorder="1" applyAlignment="1">
      <alignment horizontal="right"/>
    </xf>
    <xf numFmtId="164" fontId="3" fillId="5" borderId="10" xfId="1" applyNumberFormat="1" applyFont="1" applyFill="1" applyBorder="1"/>
    <xf numFmtId="0" fontId="4" fillId="0" borderId="1" xfId="2" applyBorder="1"/>
    <xf numFmtId="0" fontId="3" fillId="9" borderId="1" xfId="0" applyFont="1" applyFill="1" applyBorder="1"/>
    <xf numFmtId="9" fontId="0" fillId="0" borderId="0" xfId="0" applyNumberFormat="1"/>
    <xf numFmtId="0" fontId="0" fillId="11" borderId="0" xfId="0" applyFill="1"/>
    <xf numFmtId="0" fontId="0" fillId="11" borderId="2" xfId="0" applyFill="1" applyBorder="1"/>
    <xf numFmtId="0" fontId="4" fillId="11" borderId="1" xfId="2" applyFill="1" applyBorder="1"/>
    <xf numFmtId="164" fontId="3" fillId="11" borderId="9" xfId="1" applyNumberFormat="1" applyFont="1" applyFill="1" applyBorder="1"/>
    <xf numFmtId="166" fontId="0" fillId="11" borderId="7" xfId="0" applyNumberFormat="1" applyFill="1" applyBorder="1"/>
    <xf numFmtId="165" fontId="0" fillId="11" borderId="3" xfId="0" applyNumberFormat="1" applyFill="1" applyBorder="1"/>
    <xf numFmtId="166" fontId="0" fillId="11" borderId="3" xfId="0" applyNumberFormat="1" applyFill="1" applyBorder="1"/>
    <xf numFmtId="6" fontId="0" fillId="11" borderId="3" xfId="0" applyNumberFormat="1" applyFill="1" applyBorder="1"/>
    <xf numFmtId="0" fontId="8" fillId="11" borderId="0" xfId="0" applyFont="1" applyFill="1"/>
    <xf numFmtId="0" fontId="9" fillId="0" borderId="1" xfId="0" applyFont="1" applyFill="1" applyBorder="1"/>
    <xf numFmtId="9" fontId="0" fillId="5" borderId="1" xfId="0" applyNumberFormat="1" applyFill="1" applyBorder="1"/>
    <xf numFmtId="0" fontId="10" fillId="0" borderId="0" xfId="0" applyFont="1" applyFill="1"/>
    <xf numFmtId="0" fontId="11" fillId="0" borderId="0" xfId="0" applyFont="1"/>
    <xf numFmtId="0" fontId="12" fillId="0" borderId="0" xfId="0" applyFont="1"/>
    <xf numFmtId="0" fontId="14" fillId="2" borderId="0" xfId="0" applyFont="1" applyFill="1" applyBorder="1" applyAlignment="1">
      <alignment horizontal="left"/>
    </xf>
    <xf numFmtId="0" fontId="11" fillId="0" borderId="0" xfId="0" applyFont="1" applyAlignment="1">
      <alignment horizontal="left"/>
    </xf>
    <xf numFmtId="0" fontId="14" fillId="0" borderId="0" xfId="0" applyFont="1" applyBorder="1" applyAlignment="1">
      <alignment horizontal="left"/>
    </xf>
    <xf numFmtId="0" fontId="14" fillId="0" borderId="15" xfId="0" applyFont="1" applyFill="1" applyBorder="1" applyAlignment="1">
      <alignment horizontal="right"/>
    </xf>
    <xf numFmtId="0" fontId="14" fillId="0" borderId="0" xfId="0" applyFont="1" applyFill="1" applyBorder="1" applyAlignment="1">
      <alignment horizontal="right"/>
    </xf>
    <xf numFmtId="0" fontId="17" fillId="0" borderId="0" xfId="0" applyFont="1" applyFill="1"/>
    <xf numFmtId="0" fontId="12" fillId="2" borderId="0" xfId="0" applyFont="1" applyFill="1"/>
    <xf numFmtId="0" fontId="12" fillId="5" borderId="0" xfId="0" applyFont="1" applyFill="1"/>
    <xf numFmtId="0" fontId="14" fillId="0" borderId="0" xfId="0" applyFont="1" applyFill="1" applyBorder="1"/>
    <xf numFmtId="0" fontId="12" fillId="0" borderId="0" xfId="0" applyFont="1" applyFill="1"/>
    <xf numFmtId="0" fontId="14" fillId="0" borderId="0" xfId="0" applyFont="1" applyFill="1"/>
    <xf numFmtId="164" fontId="14" fillId="5" borderId="13" xfId="1" applyNumberFormat="1" applyFont="1" applyFill="1" applyBorder="1" applyProtection="1">
      <protection locked="0"/>
    </xf>
    <xf numFmtId="0" fontId="12" fillId="0" borderId="0" xfId="0" applyFont="1" applyBorder="1"/>
    <xf numFmtId="165" fontId="12" fillId="0" borderId="0" xfId="0" applyNumberFormat="1" applyFont="1" applyBorder="1"/>
    <xf numFmtId="0" fontId="14" fillId="0" borderId="0" xfId="0" applyFont="1"/>
    <xf numFmtId="0" fontId="14" fillId="3" borderId="2" xfId="0" applyFont="1" applyFill="1" applyBorder="1"/>
    <xf numFmtId="0" fontId="12" fillId="3" borderId="3" xfId="0" applyFont="1" applyFill="1" applyBorder="1"/>
    <xf numFmtId="0" fontId="14" fillId="3" borderId="1" xfId="0" applyFont="1" applyFill="1" applyBorder="1"/>
    <xf numFmtId="165" fontId="12" fillId="0" borderId="0" xfId="0" applyNumberFormat="1" applyFont="1"/>
    <xf numFmtId="165" fontId="12" fillId="0" borderId="6" xfId="0" applyNumberFormat="1" applyFont="1" applyBorder="1"/>
    <xf numFmtId="0" fontId="12" fillId="0" borderId="5" xfId="0" applyFont="1" applyBorder="1"/>
    <xf numFmtId="0" fontId="12" fillId="0" borderId="6" xfId="0" applyFont="1" applyBorder="1"/>
    <xf numFmtId="165" fontId="12" fillId="0" borderId="12" xfId="0" applyNumberFormat="1" applyFont="1" applyBorder="1"/>
    <xf numFmtId="0" fontId="12" fillId="0" borderId="12" xfId="0" applyFont="1" applyBorder="1"/>
    <xf numFmtId="1" fontId="14" fillId="0" borderId="1" xfId="0" applyNumberFormat="1" applyFont="1" applyBorder="1"/>
    <xf numFmtId="166" fontId="12" fillId="0" borderId="0" xfId="0" applyNumberFormat="1" applyFont="1" applyBorder="1"/>
    <xf numFmtId="165" fontId="12" fillId="0" borderId="13" xfId="0" applyNumberFormat="1" applyFont="1" applyBorder="1"/>
    <xf numFmtId="0" fontId="14" fillId="5" borderId="0" xfId="0" applyFont="1" applyFill="1"/>
    <xf numFmtId="164" fontId="14" fillId="8" borderId="13" xfId="1" applyNumberFormat="1" applyFont="1" applyFill="1" applyBorder="1" applyProtection="1">
      <protection locked="0"/>
    </xf>
    <xf numFmtId="164" fontId="14" fillId="8" borderId="13" xfId="1" applyNumberFormat="1" applyFont="1" applyFill="1" applyBorder="1" applyAlignment="1" applyProtection="1">
      <protection locked="0"/>
    </xf>
    <xf numFmtId="0" fontId="12" fillId="8" borderId="0" xfId="0" applyFont="1" applyFill="1"/>
    <xf numFmtId="0" fontId="14" fillId="8" borderId="0" xfId="0" applyFont="1" applyFill="1"/>
    <xf numFmtId="0" fontId="14" fillId="0" borderId="0" xfId="0" applyFont="1" applyBorder="1"/>
    <xf numFmtId="166" fontId="14" fillId="0" borderId="0" xfId="0" applyNumberFormat="1" applyFont="1" applyBorder="1"/>
    <xf numFmtId="166" fontId="14" fillId="0" borderId="14" xfId="0" applyNumberFormat="1" applyFont="1" applyBorder="1"/>
    <xf numFmtId="166" fontId="12" fillId="0" borderId="14" xfId="0" applyNumberFormat="1" applyFont="1" applyBorder="1"/>
    <xf numFmtId="0" fontId="12" fillId="0" borderId="14" xfId="0" applyFont="1" applyBorder="1"/>
    <xf numFmtId="9" fontId="12" fillId="5" borderId="13" xfId="0" applyNumberFormat="1" applyFont="1" applyFill="1" applyBorder="1" applyProtection="1">
      <protection locked="0"/>
    </xf>
    <xf numFmtId="0" fontId="12" fillId="8" borderId="18" xfId="0" applyFont="1" applyFill="1" applyBorder="1" applyProtection="1">
      <protection locked="0"/>
    </xf>
    <xf numFmtId="169" fontId="12" fillId="8" borderId="18" xfId="0" applyNumberFormat="1" applyFont="1" applyFill="1" applyBorder="1" applyProtection="1">
      <protection locked="0"/>
    </xf>
    <xf numFmtId="4" fontId="12" fillId="8" borderId="18" xfId="0" applyNumberFormat="1" applyFont="1" applyFill="1" applyBorder="1" applyProtection="1">
      <protection locked="0"/>
    </xf>
    <xf numFmtId="0" fontId="12" fillId="8" borderId="16" xfId="0" applyFont="1" applyFill="1" applyBorder="1" applyProtection="1">
      <protection locked="0"/>
    </xf>
    <xf numFmtId="169" fontId="12" fillId="8" borderId="16" xfId="0" applyNumberFormat="1" applyFont="1" applyFill="1" applyBorder="1" applyProtection="1">
      <protection locked="0"/>
    </xf>
    <xf numFmtId="4" fontId="12" fillId="8" borderId="16" xfId="0" applyNumberFormat="1" applyFont="1" applyFill="1" applyBorder="1" applyProtection="1">
      <protection locked="0"/>
    </xf>
    <xf numFmtId="0" fontId="12" fillId="8" borderId="17" xfId="0" applyFont="1" applyFill="1" applyBorder="1" applyProtection="1">
      <protection locked="0"/>
    </xf>
    <xf numFmtId="169" fontId="12" fillId="8" borderId="17" xfId="0" applyNumberFormat="1" applyFont="1" applyFill="1" applyBorder="1" applyProtection="1">
      <protection locked="0"/>
    </xf>
    <xf numFmtId="4" fontId="12" fillId="8" borderId="17" xfId="0" applyNumberFormat="1" applyFont="1" applyFill="1" applyBorder="1" applyProtection="1">
      <protection locked="0"/>
    </xf>
    <xf numFmtId="4" fontId="12" fillId="5" borderId="18" xfId="0" applyNumberFormat="1" applyFont="1" applyFill="1" applyBorder="1" applyProtection="1">
      <protection locked="0"/>
    </xf>
    <xf numFmtId="4" fontId="12" fillId="5" borderId="16" xfId="0" applyNumberFormat="1" applyFont="1" applyFill="1" applyBorder="1" applyProtection="1">
      <protection locked="0"/>
    </xf>
    <xf numFmtId="4" fontId="12" fillId="5" borderId="17" xfId="0" applyNumberFormat="1" applyFont="1" applyFill="1" applyBorder="1" applyProtection="1">
      <protection locked="0"/>
    </xf>
    <xf numFmtId="0" fontId="12" fillId="8" borderId="13" xfId="0" applyFont="1" applyFill="1" applyBorder="1" applyProtection="1">
      <protection locked="0"/>
    </xf>
    <xf numFmtId="0" fontId="12" fillId="0" borderId="0" xfId="0" applyFont="1" applyBorder="1" applyAlignment="1"/>
    <xf numFmtId="0" fontId="14" fillId="0" borderId="20" xfId="0" applyFont="1" applyBorder="1" applyAlignment="1"/>
    <xf numFmtId="0" fontId="12" fillId="8" borderId="13" xfId="0" applyFont="1" applyFill="1" applyBorder="1" applyAlignment="1" applyProtection="1">
      <protection locked="0"/>
    </xf>
    <xf numFmtId="0" fontId="11" fillId="2" borderId="0" xfId="0" applyFont="1" applyFill="1" applyProtection="1"/>
    <xf numFmtId="0" fontId="11" fillId="2" borderId="0" xfId="0" applyFont="1" applyFill="1" applyBorder="1" applyProtection="1"/>
    <xf numFmtId="0" fontId="17" fillId="0" borderId="0" xfId="0" applyFont="1" applyFill="1" applyProtection="1"/>
    <xf numFmtId="0" fontId="12" fillId="2" borderId="0" xfId="0" applyFont="1" applyFill="1" applyProtection="1"/>
    <xf numFmtId="0" fontId="12" fillId="2" borderId="0" xfId="0" applyFont="1" applyFill="1" applyBorder="1" applyProtection="1"/>
    <xf numFmtId="0" fontId="14" fillId="2" borderId="0" xfId="0" applyFont="1" applyFill="1" applyProtection="1"/>
    <xf numFmtId="0" fontId="12" fillId="8" borderId="0" xfId="0" applyFont="1" applyFill="1" applyProtection="1"/>
    <xf numFmtId="0" fontId="12" fillId="5" borderId="0" xfId="0" applyFont="1" applyFill="1" applyProtection="1"/>
    <xf numFmtId="0" fontId="11" fillId="0" borderId="0" xfId="0" applyFont="1" applyFill="1" applyProtection="1"/>
    <xf numFmtId="0" fontId="12" fillId="0" borderId="0" xfId="0" applyFont="1" applyFill="1" applyProtection="1"/>
    <xf numFmtId="0" fontId="14" fillId="0" borderId="0" xfId="0" applyFont="1" applyFill="1" applyProtection="1"/>
    <xf numFmtId="0" fontId="12" fillId="12" borderId="0" xfId="0" applyFont="1" applyFill="1" applyProtection="1"/>
    <xf numFmtId="0" fontId="12" fillId="0" borderId="0" xfId="0" applyFont="1" applyFill="1" applyBorder="1" applyProtection="1"/>
    <xf numFmtId="0" fontId="14" fillId="0" borderId="0" xfId="0" applyFont="1" applyFill="1" applyBorder="1" applyProtection="1"/>
    <xf numFmtId="0" fontId="14" fillId="0" borderId="0" xfId="0" applyFont="1" applyFill="1" applyBorder="1" applyAlignment="1" applyProtection="1">
      <alignment horizontal="right"/>
    </xf>
    <xf numFmtId="166" fontId="12" fillId="2" borderId="0" xfId="0" applyNumberFormat="1" applyFont="1" applyFill="1" applyBorder="1" applyProtection="1"/>
    <xf numFmtId="165" fontId="12" fillId="2" borderId="13" xfId="0" applyNumberFormat="1" applyFont="1" applyFill="1" applyBorder="1" applyProtection="1"/>
    <xf numFmtId="165" fontId="12" fillId="12" borderId="13" xfId="0" applyNumberFormat="1" applyFont="1" applyFill="1" applyBorder="1" applyProtection="1"/>
    <xf numFmtId="0" fontId="12" fillId="0" borderId="0" xfId="0" applyFont="1" applyBorder="1" applyAlignment="1" applyProtection="1">
      <alignment vertical="center"/>
    </xf>
    <xf numFmtId="0" fontId="12" fillId="0" borderId="0" xfId="0" applyFont="1" applyBorder="1" applyAlignment="1" applyProtection="1">
      <alignment vertical="center" wrapText="1"/>
    </xf>
    <xf numFmtId="165" fontId="12" fillId="0" borderId="13" xfId="0" applyNumberFormat="1" applyFont="1" applyFill="1" applyBorder="1" applyProtection="1"/>
    <xf numFmtId="0" fontId="11" fillId="2" borderId="0" xfId="0" applyFont="1" applyFill="1" applyAlignment="1" applyProtection="1"/>
    <xf numFmtId="166" fontId="12" fillId="2" borderId="0" xfId="0" applyNumberFormat="1" applyFont="1" applyFill="1" applyBorder="1" applyAlignment="1" applyProtection="1"/>
    <xf numFmtId="165" fontId="12" fillId="0" borderId="13" xfId="0" applyNumberFormat="1" applyFont="1" applyFill="1" applyBorder="1" applyAlignment="1" applyProtection="1"/>
    <xf numFmtId="0" fontId="14" fillId="0" borderId="0" xfId="0" applyFont="1" applyBorder="1" applyAlignment="1" applyProtection="1">
      <alignment vertical="center"/>
    </xf>
    <xf numFmtId="166" fontId="12" fillId="0" borderId="0" xfId="0" applyNumberFormat="1" applyFont="1" applyFill="1" applyBorder="1" applyProtection="1"/>
    <xf numFmtId="0" fontId="14" fillId="2" borderId="0" xfId="0" applyFont="1" applyFill="1" applyBorder="1" applyProtection="1"/>
    <xf numFmtId="166" fontId="14" fillId="2" borderId="0" xfId="0" applyNumberFormat="1" applyFont="1" applyFill="1" applyBorder="1" applyProtection="1"/>
    <xf numFmtId="166" fontId="11" fillId="2" borderId="0" xfId="0" applyNumberFormat="1" applyFont="1" applyFill="1" applyBorder="1" applyProtection="1"/>
    <xf numFmtId="0" fontId="13" fillId="2" borderId="0" xfId="0" applyFont="1" applyFill="1" applyBorder="1" applyProtection="1"/>
    <xf numFmtId="166" fontId="15" fillId="0" borderId="0" xfId="0" applyNumberFormat="1" applyFont="1" applyBorder="1"/>
    <xf numFmtId="166" fontId="16" fillId="0" borderId="0" xfId="0" applyNumberFormat="1" applyFont="1" applyBorder="1"/>
    <xf numFmtId="0" fontId="17" fillId="0" borderId="0" xfId="0" applyFont="1" applyAlignment="1">
      <alignment horizontal="left" vertical="center"/>
    </xf>
    <xf numFmtId="0" fontId="14" fillId="2" borderId="0" xfId="0" quotePrefix="1" applyFont="1" applyFill="1"/>
    <xf numFmtId="165" fontId="12" fillId="13" borderId="13" xfId="0" applyNumberFormat="1" applyFont="1" applyFill="1" applyBorder="1" applyProtection="1"/>
    <xf numFmtId="165" fontId="14" fillId="2" borderId="13" xfId="0" applyNumberFormat="1" applyFont="1" applyFill="1" applyBorder="1" applyProtection="1"/>
    <xf numFmtId="165" fontId="12" fillId="2" borderId="13" xfId="0" applyNumberFormat="1" applyFont="1" applyFill="1" applyBorder="1" applyAlignment="1" applyProtection="1"/>
    <xf numFmtId="165" fontId="12" fillId="0" borderId="18" xfId="0" applyNumberFormat="1" applyFont="1" applyBorder="1"/>
    <xf numFmtId="165" fontId="12" fillId="0" borderId="16" xfId="0" applyNumberFormat="1" applyFont="1" applyBorder="1"/>
    <xf numFmtId="165" fontId="12" fillId="0" borderId="17" xfId="0" applyNumberFormat="1" applyFont="1" applyBorder="1"/>
    <xf numFmtId="165" fontId="14" fillId="0" borderId="13" xfId="0" applyNumberFormat="1" applyFont="1" applyBorder="1"/>
    <xf numFmtId="165" fontId="14" fillId="0" borderId="19" xfId="0" applyNumberFormat="1" applyFont="1" applyBorder="1"/>
    <xf numFmtId="0" fontId="12" fillId="0" borderId="21" xfId="0" applyFont="1" applyBorder="1"/>
    <xf numFmtId="0" fontId="12" fillId="0" borderId="21" xfId="0" applyFont="1" applyFill="1" applyBorder="1"/>
    <xf numFmtId="0" fontId="14" fillId="14" borderId="0" xfId="0" applyFont="1" applyFill="1"/>
    <xf numFmtId="0" fontId="12" fillId="14" borderId="0" xfId="0" applyFont="1" applyFill="1"/>
    <xf numFmtId="0" fontId="14" fillId="14" borderId="2" xfId="0" applyFont="1" applyFill="1" applyBorder="1"/>
    <xf numFmtId="0" fontId="12" fillId="14" borderId="3" xfId="0" applyFont="1" applyFill="1" applyBorder="1"/>
    <xf numFmtId="0" fontId="14" fillId="5" borderId="2" xfId="0" applyFont="1" applyFill="1" applyBorder="1"/>
    <xf numFmtId="0" fontId="12" fillId="5" borderId="3" xfId="0" applyFont="1" applyFill="1" applyBorder="1"/>
    <xf numFmtId="165" fontId="12" fillId="8" borderId="13" xfId="0" applyNumberFormat="1" applyFont="1" applyFill="1" applyBorder="1" applyProtection="1">
      <protection locked="0"/>
    </xf>
    <xf numFmtId="165" fontId="12" fillId="8" borderId="18" xfId="0" applyNumberFormat="1" applyFont="1" applyFill="1" applyBorder="1" applyProtection="1">
      <protection locked="0"/>
    </xf>
    <xf numFmtId="165" fontId="12" fillId="8" borderId="16" xfId="0" applyNumberFormat="1" applyFont="1" applyFill="1" applyBorder="1" applyProtection="1">
      <protection locked="0"/>
    </xf>
    <xf numFmtId="165" fontId="12" fillId="8" borderId="17" xfId="0" applyNumberFormat="1" applyFont="1" applyFill="1" applyBorder="1" applyProtection="1">
      <protection locked="0"/>
    </xf>
    <xf numFmtId="165" fontId="12" fillId="2" borderId="13" xfId="0" applyNumberFormat="1" applyFont="1" applyFill="1" applyBorder="1"/>
    <xf numFmtId="165" fontId="14" fillId="2" borderId="0" xfId="0" applyNumberFormat="1" applyFont="1" applyFill="1" applyBorder="1" applyProtection="1"/>
    <xf numFmtId="165" fontId="12" fillId="0" borderId="0" xfId="0" applyNumberFormat="1" applyFont="1" applyFill="1" applyBorder="1" applyProtection="1"/>
    <xf numFmtId="164" fontId="14" fillId="0" borderId="0" xfId="1" applyNumberFormat="1" applyFont="1" applyFill="1" applyBorder="1" applyProtection="1">
      <protection locked="0"/>
    </xf>
    <xf numFmtId="0" fontId="20" fillId="2" borderId="0" xfId="0" applyFont="1" applyFill="1"/>
    <xf numFmtId="0" fontId="14" fillId="0" borderId="0" xfId="0" applyFont="1" applyFill="1" applyBorder="1" applyAlignment="1">
      <alignment horizontal="center"/>
    </xf>
    <xf numFmtId="166" fontId="12" fillId="0" borderId="0" xfId="0" applyNumberFormat="1" applyFont="1" applyFill="1" applyBorder="1" applyAlignment="1" applyProtection="1"/>
    <xf numFmtId="164" fontId="14" fillId="0" borderId="0" xfId="1" applyNumberFormat="1" applyFont="1" applyFill="1" applyBorder="1" applyAlignment="1" applyProtection="1">
      <protection locked="0"/>
    </xf>
    <xf numFmtId="165" fontId="12" fillId="0" borderId="0" xfId="0" applyNumberFormat="1" applyFont="1" applyFill="1" applyBorder="1" applyAlignment="1" applyProtection="1"/>
    <xf numFmtId="0" fontId="14" fillId="0" borderId="0" xfId="0" applyFont="1" applyAlignment="1">
      <alignment vertical="center"/>
    </xf>
    <xf numFmtId="0" fontId="12" fillId="0" borderId="0" xfId="0" applyFont="1" applyAlignment="1">
      <alignment horizontal="left" vertical="center"/>
    </xf>
    <xf numFmtId="0" fontId="21" fillId="2" borderId="0" xfId="2" applyFont="1" applyFill="1" applyProtection="1"/>
    <xf numFmtId="0" fontId="21" fillId="0" borderId="0" xfId="0" applyFont="1" applyBorder="1" applyAlignment="1" applyProtection="1">
      <alignment vertical="center"/>
    </xf>
    <xf numFmtId="0" fontId="19" fillId="2" borderId="0" xfId="2" applyFont="1" applyFill="1" applyProtection="1"/>
    <xf numFmtId="165" fontId="14" fillId="2" borderId="21" xfId="0" applyNumberFormat="1" applyFont="1" applyFill="1" applyBorder="1" applyProtection="1"/>
    <xf numFmtId="165" fontId="14" fillId="2" borderId="15" xfId="0" applyNumberFormat="1" applyFont="1" applyFill="1" applyBorder="1" applyProtection="1"/>
    <xf numFmtId="0" fontId="14"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vertical="center"/>
    </xf>
    <xf numFmtId="9" fontId="12" fillId="5" borderId="13" xfId="0" applyNumberFormat="1" applyFont="1" applyFill="1" applyBorder="1" applyProtection="1"/>
    <xf numFmtId="164" fontId="14" fillId="0" borderId="13" xfId="1" applyNumberFormat="1" applyFont="1" applyFill="1" applyBorder="1" applyProtection="1"/>
    <xf numFmtId="164" fontId="14" fillId="5" borderId="13" xfId="1" applyNumberFormat="1" applyFont="1" applyFill="1" applyBorder="1" applyProtection="1"/>
    <xf numFmtId="9" fontId="12" fillId="8" borderId="13" xfId="0" applyNumberFormat="1" applyFont="1" applyFill="1" applyBorder="1" applyProtection="1">
      <protection locked="0"/>
    </xf>
    <xf numFmtId="8" fontId="15" fillId="0" borderId="13" xfId="0" applyNumberFormat="1" applyFont="1" applyBorder="1"/>
    <xf numFmtId="8" fontId="15" fillId="0" borderId="16" xfId="0" applyNumberFormat="1" applyFont="1" applyBorder="1"/>
    <xf numFmtId="8" fontId="11" fillId="0" borderId="0" xfId="0" applyNumberFormat="1" applyFont="1"/>
    <xf numFmtId="8" fontId="11" fillId="0" borderId="0" xfId="0" applyNumberFormat="1" applyFont="1" applyBorder="1"/>
    <xf numFmtId="8" fontId="16" fillId="0" borderId="13" xfId="0" applyNumberFormat="1" applyFont="1" applyBorder="1"/>
    <xf numFmtId="8" fontId="16" fillId="0" borderId="16" xfId="0" applyNumberFormat="1" applyFont="1" applyBorder="1"/>
    <xf numFmtId="0" fontId="12" fillId="0" borderId="0" xfId="0" applyFont="1" applyProtection="1"/>
    <xf numFmtId="0" fontId="14" fillId="0" borderId="15" xfId="0" applyFont="1" applyFill="1" applyBorder="1" applyAlignment="1" applyProtection="1">
      <alignment horizontal="right"/>
    </xf>
    <xf numFmtId="0" fontId="12" fillId="0" borderId="0" xfId="0" applyFont="1" applyBorder="1" applyProtection="1"/>
    <xf numFmtId="0" fontId="12" fillId="0" borderId="14" xfId="0" applyFont="1" applyBorder="1" applyProtection="1"/>
    <xf numFmtId="165" fontId="12" fillId="0" borderId="13" xfId="0" applyNumberFormat="1" applyFont="1" applyBorder="1" applyProtection="1"/>
    <xf numFmtId="168" fontId="12" fillId="0" borderId="13" xfId="0" applyNumberFormat="1" applyFont="1" applyBorder="1" applyProtection="1"/>
    <xf numFmtId="0" fontId="14" fillId="8" borderId="0" xfId="0" applyFont="1" applyFill="1" applyProtection="1"/>
    <xf numFmtId="0" fontId="14" fillId="14" borderId="0" xfId="0" applyFont="1" applyFill="1" applyBorder="1" applyProtection="1"/>
    <xf numFmtId="0" fontId="12" fillId="14" borderId="0" xfId="0" applyFont="1" applyFill="1" applyBorder="1" applyProtection="1"/>
    <xf numFmtId="165" fontId="12" fillId="0" borderId="18" xfId="0" applyNumberFormat="1" applyFont="1" applyBorder="1" applyProtection="1"/>
    <xf numFmtId="165" fontId="12" fillId="0" borderId="16" xfId="0" applyNumberFormat="1" applyFont="1" applyBorder="1" applyProtection="1"/>
    <xf numFmtId="0" fontId="12" fillId="0" borderId="21" xfId="0" applyFont="1" applyFill="1" applyBorder="1" applyProtection="1"/>
    <xf numFmtId="0" fontId="12" fillId="0" borderId="20" xfId="0" applyFont="1" applyFill="1" applyBorder="1" applyProtection="1"/>
    <xf numFmtId="165" fontId="14" fillId="0" borderId="13" xfId="0" applyNumberFormat="1" applyFont="1" applyBorder="1" applyProtection="1"/>
    <xf numFmtId="0" fontId="14" fillId="0" borderId="0" xfId="0" applyFont="1" applyProtection="1"/>
    <xf numFmtId="0" fontId="12" fillId="0" borderId="13" xfId="0" applyFont="1" applyBorder="1" applyProtection="1"/>
    <xf numFmtId="166" fontId="12" fillId="0" borderId="0" xfId="0" applyNumberFormat="1" applyFont="1" applyBorder="1" applyProtection="1"/>
    <xf numFmtId="0" fontId="14" fillId="0" borderId="0" xfId="0" applyFont="1" applyBorder="1" applyProtection="1"/>
    <xf numFmtId="166" fontId="14" fillId="0" borderId="0" xfId="0" applyNumberFormat="1" applyFont="1" applyBorder="1" applyProtection="1"/>
    <xf numFmtId="166" fontId="14" fillId="0" borderId="14" xfId="0" applyNumberFormat="1" applyFont="1" applyBorder="1" applyProtection="1"/>
    <xf numFmtId="0" fontId="21" fillId="0" borderId="0" xfId="2" applyFont="1" applyAlignment="1">
      <alignment horizontal="left"/>
    </xf>
    <xf numFmtId="0" fontId="14" fillId="0" borderId="0" xfId="0" applyFont="1" applyFill="1" applyBorder="1" applyAlignment="1">
      <alignment horizontal="center"/>
    </xf>
    <xf numFmtId="0" fontId="19" fillId="8" borderId="0" xfId="2" applyFont="1" applyFill="1" applyAlignment="1">
      <alignment horizontal="center"/>
    </xf>
    <xf numFmtId="0" fontId="14" fillId="0" borderId="0" xfId="0" applyFont="1" applyFill="1" applyBorder="1" applyAlignment="1" applyProtection="1">
      <alignment horizontal="center"/>
    </xf>
    <xf numFmtId="0" fontId="12" fillId="4" borderId="0" xfId="0" applyFont="1" applyFill="1" applyAlignment="1" applyProtection="1">
      <alignment horizontal="left" wrapText="1"/>
    </xf>
    <xf numFmtId="0" fontId="12" fillId="0" borderId="0" xfId="0" applyFont="1" applyAlignment="1" applyProtection="1">
      <alignment horizontal="left" vertical="center" wrapText="1"/>
    </xf>
    <xf numFmtId="0" fontId="12" fillId="2" borderId="0" xfId="0" applyFont="1" applyFill="1" applyAlignment="1" applyProtection="1">
      <alignment horizontal="left" wrapText="1"/>
    </xf>
    <xf numFmtId="0" fontId="12" fillId="0" borderId="0" xfId="0" applyFont="1" applyAlignment="1">
      <alignment horizontal="left" vertical="center" wrapText="1"/>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0" borderId="11" xfId="0" applyFont="1" applyFill="1" applyBorder="1" applyAlignment="1">
      <alignment horizontal="center"/>
    </xf>
  </cellXfs>
  <cellStyles count="3">
    <cellStyle name="Comma" xfId="1" builtinId="3"/>
    <cellStyle name="Hyperlink" xfId="2" builtinId="8"/>
    <cellStyle name="Normal" xfId="0" builtinId="0"/>
  </cellStyles>
  <dxfs count="7">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theme="7" tint="0.79998168889431442"/>
        </patternFill>
      </fill>
    </dxf>
    <dxf>
      <fill>
        <patternFill>
          <bgColor rgb="FFFFC7CE"/>
        </patternFill>
      </fill>
    </dxf>
    <dxf>
      <numFmt numFmtId="13" formatCode="0%"/>
    </dxf>
  </dxfs>
  <tableStyles count="0" defaultTableStyle="TableStyleMedium2" defaultPivotStyle="PivotStyleLight16"/>
  <colors>
    <mruColors>
      <color rgb="FF0070C0"/>
      <color rgb="FF00B050"/>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18025</xdr:colOff>
      <xdr:row>3</xdr:row>
      <xdr:rowOff>73026</xdr:rowOff>
    </xdr:to>
    <xdr:pic>
      <xdr:nvPicPr>
        <xdr:cNvPr id="3" name="Picture 2">
          <a:extLst>
            <a:ext uri="{FF2B5EF4-FFF2-40B4-BE49-F238E27FC236}">
              <a16:creationId xmlns:a16="http://schemas.microsoft.com/office/drawing/2014/main" id="{46EEAEF2-06A5-4F1B-AAB1-394D9B46EF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36" b="14693"/>
        <a:stretch/>
      </xdr:blipFill>
      <xdr:spPr>
        <a:xfrm>
          <a:off x="0" y="0"/>
          <a:ext cx="2637400" cy="644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208525</xdr:colOff>
      <xdr:row>3</xdr:row>
      <xdr:rowOff>73026</xdr:rowOff>
    </xdr:to>
    <xdr:pic>
      <xdr:nvPicPr>
        <xdr:cNvPr id="2" name="Picture 1">
          <a:extLst>
            <a:ext uri="{FF2B5EF4-FFF2-40B4-BE49-F238E27FC236}">
              <a16:creationId xmlns:a16="http://schemas.microsoft.com/office/drawing/2014/main" id="{1C81C4F5-AD5C-4940-B546-5405337D01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36" b="14693"/>
        <a:stretch/>
      </xdr:blipFill>
      <xdr:spPr>
        <a:xfrm>
          <a:off x="0" y="0"/>
          <a:ext cx="2637400" cy="6445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2454837</xdr:colOff>
      <xdr:row>3</xdr:row>
      <xdr:rowOff>73026</xdr:rowOff>
    </xdr:to>
    <xdr:pic>
      <xdr:nvPicPr>
        <xdr:cNvPr id="2" name="Picture 1">
          <a:extLst>
            <a:ext uri="{FF2B5EF4-FFF2-40B4-BE49-F238E27FC236}">
              <a16:creationId xmlns:a16="http://schemas.microsoft.com/office/drawing/2014/main" id="{CA4A9A5F-EBA4-4764-9447-41549AF7F0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36" b="14693"/>
        <a:stretch/>
      </xdr:blipFill>
      <xdr:spPr>
        <a:xfrm>
          <a:off x="0" y="0"/>
          <a:ext cx="2637400" cy="6445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2454837</xdr:colOff>
      <xdr:row>3</xdr:row>
      <xdr:rowOff>73026</xdr:rowOff>
    </xdr:to>
    <xdr:pic>
      <xdr:nvPicPr>
        <xdr:cNvPr id="2" name="Picture 1">
          <a:extLst>
            <a:ext uri="{FF2B5EF4-FFF2-40B4-BE49-F238E27FC236}">
              <a16:creationId xmlns:a16="http://schemas.microsoft.com/office/drawing/2014/main" id="{AB0A0208-4BEC-421E-B9C6-190D9B3D48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36" b="14693"/>
        <a:stretch/>
      </xdr:blipFill>
      <xdr:spPr>
        <a:xfrm>
          <a:off x="0" y="0"/>
          <a:ext cx="2635812" cy="6445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605400</xdr:colOff>
      <xdr:row>3</xdr:row>
      <xdr:rowOff>73026</xdr:rowOff>
    </xdr:to>
    <xdr:pic>
      <xdr:nvPicPr>
        <xdr:cNvPr id="2" name="Picture 1">
          <a:extLst>
            <a:ext uri="{FF2B5EF4-FFF2-40B4-BE49-F238E27FC236}">
              <a16:creationId xmlns:a16="http://schemas.microsoft.com/office/drawing/2014/main" id="{6E2755BB-F941-4080-AB51-E0F0A8B54F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36" b="14693"/>
        <a:stretch/>
      </xdr:blipFill>
      <xdr:spPr>
        <a:xfrm>
          <a:off x="0" y="0"/>
          <a:ext cx="2637400" cy="6445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629212</xdr:colOff>
      <xdr:row>3</xdr:row>
      <xdr:rowOff>73026</xdr:rowOff>
    </xdr:to>
    <xdr:pic>
      <xdr:nvPicPr>
        <xdr:cNvPr id="2" name="Picture 1">
          <a:extLst>
            <a:ext uri="{FF2B5EF4-FFF2-40B4-BE49-F238E27FC236}">
              <a16:creationId xmlns:a16="http://schemas.microsoft.com/office/drawing/2014/main" id="{52DEB7F3-BB30-4F9D-8756-5C1FDEE67B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36" b="14693"/>
        <a:stretch/>
      </xdr:blipFill>
      <xdr:spPr>
        <a:xfrm>
          <a:off x="0" y="0"/>
          <a:ext cx="2637400" cy="6445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208525</xdr:colOff>
      <xdr:row>3</xdr:row>
      <xdr:rowOff>73026</xdr:rowOff>
    </xdr:to>
    <xdr:pic>
      <xdr:nvPicPr>
        <xdr:cNvPr id="2" name="Picture 1">
          <a:extLst>
            <a:ext uri="{FF2B5EF4-FFF2-40B4-BE49-F238E27FC236}">
              <a16:creationId xmlns:a16="http://schemas.microsoft.com/office/drawing/2014/main" id="{E47765BD-F2CF-4C75-B710-823F0F1FB8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36" b="14693"/>
        <a:stretch/>
      </xdr:blipFill>
      <xdr:spPr>
        <a:xfrm>
          <a:off x="0" y="0"/>
          <a:ext cx="2637400" cy="6445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2429B7-EBAE-4350-A662-D2CAFBFD47D9}" name="Table1" displayName="Table1" ref="B2:B9" totalsRowShown="0">
  <autoFilter ref="B2:B9" xr:uid="{582429B7-EBAE-4350-A662-D2CAFBFD47D9}"/>
  <tableColumns count="1">
    <tableColumn id="1" xr3:uid="{E96772F2-F04C-4292-9BD5-D72476A71B53}" name="Select % of average profit"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45D9C2-9769-43D6-86FC-FAA965F67886}" name="Table2" displayName="Table2" ref="E2:F7" totalsRowShown="0">
  <autoFilter ref="E2:F7" xr:uid="{7F45D9C2-9769-43D6-86FC-FAA965F67886}"/>
  <tableColumns count="2">
    <tableColumn id="1" xr3:uid="{C7903A64-0BF8-4BBA-84C2-47FDD7B52BF9}" name="% of target for full service"/>
    <tableColumn id="2" xr3:uid="{E95D67A4-8ECC-4DAF-B87B-2686E9D2FE14}" name="Valu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pe.org.uk/funding-and-reimbursement/pharmacy-funding/funding-distribution/indicative-income-tabl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pe.org.uk/funding-and-reimbursement/pharmacy-funding/funding-distribution/indicative-income-table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pe.org.uk/wp-content/uploads/2025/03/Indicative-Income-Calculator-2025-26-comparative-v3.xlsx" TargetMode="External"/><Relationship Id="rId1" Type="http://schemas.openxmlformats.org/officeDocument/2006/relationships/hyperlink" Target="https://www.nhsbsa.nhs.uk/sites/default/files/2025-03/Understanding%20your%20Schedule%20of%20Payments%20-%20Pharmacy%20contractor%20October%2724%20Schedule.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cpe.org.uk/national-pharmacy-services/advanced-services/pharmacy-contraception-service/" TargetMode="External"/><Relationship Id="rId13" Type="http://schemas.openxmlformats.org/officeDocument/2006/relationships/printerSettings" Target="../printerSettings/printerSettings5.bin"/><Relationship Id="rId3" Type="http://schemas.openxmlformats.org/officeDocument/2006/relationships/hyperlink" Target="https://cpe.org.uk/national-pharmacy-services/advanced-services/pharmacy-first-service/" TargetMode="External"/><Relationship Id="rId7" Type="http://schemas.openxmlformats.org/officeDocument/2006/relationships/hyperlink" Target="https://cpe.org.uk/national-pharmacy-services/advanced-services/pharmacy-contraception-service/" TargetMode="External"/><Relationship Id="rId12" Type="http://schemas.openxmlformats.org/officeDocument/2006/relationships/hyperlink" Target="https://cpe.org.uk/funding-and-reimbursement/pharmacy-funding/funding-distribution/essential-service-payments/" TargetMode="External"/><Relationship Id="rId2" Type="http://schemas.openxmlformats.org/officeDocument/2006/relationships/hyperlink" Target="https://cpe.org.uk/national-pharmacy-services/advanced-services/pharmacy-first-service/" TargetMode="External"/><Relationship Id="rId1" Type="http://schemas.openxmlformats.org/officeDocument/2006/relationships/hyperlink" Target="https://cpe.org.uk/national-pharmacy-services/advanced-services/pharmacy-first-service/" TargetMode="External"/><Relationship Id="rId6" Type="http://schemas.openxmlformats.org/officeDocument/2006/relationships/hyperlink" Target="https://cpe.org.uk/national-pharmacy-services/advanced-services/nms/" TargetMode="External"/><Relationship Id="rId11" Type="http://schemas.openxmlformats.org/officeDocument/2006/relationships/hyperlink" Target="https://cpe.org.uk/national-pharmacy-services/advanced-services/hypertension-case-finding-service/" TargetMode="External"/><Relationship Id="rId5" Type="http://schemas.openxmlformats.org/officeDocument/2006/relationships/hyperlink" Target="https://cpe.org.uk/national-pharmacy-services/advanced-services/nms/" TargetMode="External"/><Relationship Id="rId15" Type="http://schemas.openxmlformats.org/officeDocument/2006/relationships/comments" Target="../comments1.xml"/><Relationship Id="rId10" Type="http://schemas.openxmlformats.org/officeDocument/2006/relationships/hyperlink" Target="https://cpe.org.uk/national-pharmacy-services/advanced-services/hypertension-case-finding-service/" TargetMode="External"/><Relationship Id="rId4" Type="http://schemas.openxmlformats.org/officeDocument/2006/relationships/hyperlink" Target="https://cpe.org.uk/national-pharmacy-services/advanced-services/pharmacy-first-service/" TargetMode="External"/><Relationship Id="rId9" Type="http://schemas.openxmlformats.org/officeDocument/2006/relationships/hyperlink" Target="https://cpe.org.uk/national-pharmacy-services/advanced-services/pharmacy-contraception-service/" TargetMode="External"/><Relationship Id="rId1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C908-A1BD-4F8D-B10F-C89E589569B6}">
  <sheetPr>
    <tabColor theme="9" tint="0.79998168889431442"/>
  </sheetPr>
  <dimension ref="B1:U38"/>
  <sheetViews>
    <sheetView showGridLines="0" tabSelected="1" zoomScale="120" zoomScaleNormal="120" workbookViewId="0">
      <selection activeCell="A4" sqref="A4"/>
    </sheetView>
  </sheetViews>
  <sheetFormatPr defaultRowHeight="15" x14ac:dyDescent="0.25"/>
  <cols>
    <col min="1" max="1" width="2.7109375" style="56" customWidth="1"/>
    <col min="2" max="16" width="9.140625" style="56"/>
    <col min="17" max="17" width="9.5703125" style="56" customWidth="1"/>
    <col min="18" max="16384" width="9.140625" style="56"/>
  </cols>
  <sheetData>
    <row r="1" spans="2:21" x14ac:dyDescent="0.25">
      <c r="U1" s="137" t="s">
        <v>232</v>
      </c>
    </row>
    <row r="5" spans="2:21" ht="20.25" x14ac:dyDescent="0.25">
      <c r="B5" s="136" t="s">
        <v>231</v>
      </c>
    </row>
    <row r="6" spans="2:21" x14ac:dyDescent="0.25">
      <c r="B6" s="162"/>
    </row>
    <row r="7" spans="2:21" x14ac:dyDescent="0.25">
      <c r="B7" s="49" t="s">
        <v>193</v>
      </c>
    </row>
    <row r="8" spans="2:21" x14ac:dyDescent="0.25">
      <c r="B8" s="49" t="s">
        <v>194</v>
      </c>
    </row>
    <row r="9" spans="2:21" x14ac:dyDescent="0.25">
      <c r="B9" s="49"/>
      <c r="C9" s="56" t="s">
        <v>201</v>
      </c>
    </row>
    <row r="10" spans="2:21" x14ac:dyDescent="0.25">
      <c r="B10" s="49"/>
      <c r="C10" s="56" t="s">
        <v>202</v>
      </c>
    </row>
    <row r="11" spans="2:21" x14ac:dyDescent="0.25">
      <c r="B11" s="49"/>
      <c r="C11" s="56" t="s">
        <v>203</v>
      </c>
    </row>
    <row r="12" spans="2:21" x14ac:dyDescent="0.25">
      <c r="B12" s="49" t="s">
        <v>167</v>
      </c>
    </row>
    <row r="13" spans="2:21" x14ac:dyDescent="0.25">
      <c r="B13" s="49"/>
    </row>
    <row r="14" spans="2:21" x14ac:dyDescent="0.25">
      <c r="B14" s="49" t="s">
        <v>208</v>
      </c>
    </row>
    <row r="15" spans="2:21" x14ac:dyDescent="0.25">
      <c r="B15" s="49" t="s">
        <v>209</v>
      </c>
    </row>
    <row r="16" spans="2:21" x14ac:dyDescent="0.25">
      <c r="B16" s="49"/>
    </row>
    <row r="17" spans="2:17" x14ac:dyDescent="0.25">
      <c r="B17" s="60" t="s">
        <v>156</v>
      </c>
      <c r="C17" s="60"/>
      <c r="D17" s="59"/>
      <c r="E17" s="59"/>
      <c r="F17" s="59"/>
      <c r="G17" s="59"/>
      <c r="H17" s="59"/>
      <c r="I17" s="59"/>
      <c r="J17" s="59"/>
      <c r="K17" s="59"/>
      <c r="L17" s="59"/>
      <c r="M17" s="59"/>
      <c r="N17" s="59"/>
      <c r="O17" s="59"/>
      <c r="P17" s="59"/>
      <c r="Q17" s="59"/>
    </row>
    <row r="18" spans="2:17" x14ac:dyDescent="0.25">
      <c r="B18" s="59"/>
      <c r="C18" s="59"/>
      <c r="D18" s="59"/>
      <c r="E18" s="59"/>
      <c r="F18" s="59"/>
      <c r="G18" s="59"/>
      <c r="H18" s="59"/>
      <c r="I18" s="59"/>
      <c r="J18" s="59"/>
      <c r="K18" s="59"/>
      <c r="L18" s="59"/>
      <c r="M18" s="59"/>
      <c r="N18" s="59"/>
      <c r="O18" s="59"/>
      <c r="P18" s="59"/>
      <c r="Q18" s="59"/>
    </row>
    <row r="19" spans="2:17" x14ac:dyDescent="0.25">
      <c r="B19" s="59" t="s">
        <v>157</v>
      </c>
      <c r="C19" s="59"/>
      <c r="D19" s="59"/>
      <c r="E19" s="59"/>
      <c r="F19" s="59"/>
      <c r="G19" s="59"/>
      <c r="H19" s="59"/>
      <c r="I19" s="59"/>
      <c r="J19" s="59"/>
      <c r="K19" s="59"/>
      <c r="L19" s="59"/>
      <c r="M19" s="59"/>
      <c r="N19" s="59"/>
      <c r="O19" s="59"/>
      <c r="P19" s="59"/>
      <c r="Q19" s="59"/>
    </row>
    <row r="20" spans="2:17" x14ac:dyDescent="0.25">
      <c r="C20" s="59" t="s">
        <v>158</v>
      </c>
      <c r="D20" s="59"/>
      <c r="E20" s="59"/>
      <c r="F20" s="59"/>
      <c r="G20" s="59"/>
      <c r="H20" s="59"/>
      <c r="I20" s="59"/>
      <c r="J20" s="59"/>
      <c r="K20" s="59"/>
      <c r="L20" s="59"/>
      <c r="M20" s="59"/>
      <c r="N20" s="59"/>
      <c r="O20" s="59"/>
      <c r="P20" s="59"/>
      <c r="Q20" s="59"/>
    </row>
    <row r="21" spans="2:17" x14ac:dyDescent="0.25">
      <c r="C21" s="59" t="s">
        <v>195</v>
      </c>
      <c r="D21" s="59"/>
      <c r="E21" s="59"/>
      <c r="F21" s="59"/>
      <c r="G21" s="59"/>
      <c r="H21" s="59"/>
      <c r="I21" s="59"/>
      <c r="J21" s="59"/>
      <c r="K21" s="59"/>
      <c r="L21" s="59"/>
      <c r="M21" s="59"/>
      <c r="N21" s="59"/>
      <c r="O21" s="59"/>
      <c r="P21" s="59"/>
      <c r="Q21" s="59"/>
    </row>
    <row r="22" spans="2:17" ht="15" customHeight="1" x14ac:dyDescent="0.25">
      <c r="C22" s="56" t="s">
        <v>196</v>
      </c>
      <c r="D22" s="59"/>
      <c r="E22" s="59"/>
      <c r="F22" s="59"/>
      <c r="G22" s="59"/>
      <c r="H22" s="59"/>
      <c r="I22" s="59"/>
      <c r="J22" s="59"/>
      <c r="K22" s="59"/>
      <c r="L22" s="59"/>
      <c r="M22" s="59"/>
      <c r="N22" s="59"/>
      <c r="O22" s="59"/>
      <c r="P22" s="59"/>
      <c r="Q22" s="59"/>
    </row>
    <row r="23" spans="2:17" x14ac:dyDescent="0.25">
      <c r="C23" s="56" t="s">
        <v>160</v>
      </c>
      <c r="D23" s="59"/>
      <c r="E23" s="59"/>
      <c r="F23" s="59"/>
      <c r="G23" s="59"/>
      <c r="H23" s="59"/>
      <c r="I23" s="59"/>
      <c r="J23" s="59"/>
      <c r="K23" s="59"/>
      <c r="L23" s="59"/>
      <c r="M23" s="59"/>
      <c r="N23" s="59"/>
      <c r="O23" s="59"/>
      <c r="P23" s="59"/>
      <c r="Q23" s="59"/>
    </row>
    <row r="24" spans="2:17" x14ac:dyDescent="0.25">
      <c r="B24" s="59"/>
      <c r="C24" s="59" t="s">
        <v>230</v>
      </c>
      <c r="D24" s="59"/>
      <c r="E24" s="59"/>
      <c r="F24" s="59"/>
      <c r="G24" s="59"/>
      <c r="H24" s="59"/>
      <c r="I24" s="59"/>
      <c r="J24" s="59"/>
      <c r="K24" s="59"/>
      <c r="L24" s="59"/>
      <c r="M24" s="59"/>
      <c r="N24" s="59"/>
      <c r="O24" s="59"/>
      <c r="P24" s="59"/>
      <c r="Q24" s="59"/>
    </row>
    <row r="25" spans="2:17" x14ac:dyDescent="0.25">
      <c r="B25" s="59"/>
      <c r="C25" s="59" t="s">
        <v>159</v>
      </c>
      <c r="D25" s="59"/>
      <c r="E25" s="59"/>
      <c r="F25" s="59"/>
      <c r="G25" s="59"/>
      <c r="H25" s="59"/>
      <c r="I25" s="59"/>
      <c r="J25" s="59"/>
      <c r="K25" s="59"/>
      <c r="L25" s="59"/>
      <c r="M25" s="59"/>
      <c r="N25" s="59"/>
      <c r="O25" s="59"/>
      <c r="P25" s="59"/>
      <c r="Q25" s="59"/>
    </row>
    <row r="26" spans="2:17" x14ac:dyDescent="0.25">
      <c r="B26" s="56" t="s">
        <v>249</v>
      </c>
      <c r="D26" s="59"/>
      <c r="E26" s="59"/>
      <c r="F26" s="59"/>
      <c r="G26" s="59"/>
      <c r="H26" s="59"/>
      <c r="I26" s="59"/>
      <c r="J26" s="59"/>
      <c r="K26" s="59"/>
      <c r="L26" s="59"/>
      <c r="M26" s="59"/>
      <c r="N26" s="59"/>
      <c r="O26" s="59"/>
      <c r="P26" s="59"/>
      <c r="Q26" s="59"/>
    </row>
    <row r="27" spans="2:17" x14ac:dyDescent="0.25">
      <c r="D27" s="59"/>
      <c r="E27" s="59"/>
      <c r="F27" s="59"/>
      <c r="G27" s="59"/>
      <c r="H27" s="59"/>
      <c r="I27" s="59"/>
      <c r="J27" s="59"/>
      <c r="K27" s="59"/>
      <c r="L27" s="59"/>
      <c r="M27" s="59"/>
      <c r="N27" s="59"/>
      <c r="O27" s="59"/>
      <c r="P27" s="59"/>
      <c r="Q27" s="59"/>
    </row>
    <row r="28" spans="2:17" x14ac:dyDescent="0.25">
      <c r="B28" s="59" t="s">
        <v>250</v>
      </c>
      <c r="D28" s="59"/>
      <c r="E28" s="59"/>
      <c r="F28" s="59"/>
      <c r="G28" s="59"/>
      <c r="H28" s="59"/>
      <c r="I28" s="59"/>
      <c r="J28" s="59"/>
      <c r="K28" s="59"/>
      <c r="L28" s="59"/>
      <c r="M28" s="59"/>
      <c r="N28" s="59"/>
      <c r="O28" s="59"/>
      <c r="P28" s="59"/>
      <c r="Q28" s="59"/>
    </row>
    <row r="29" spans="2:17" x14ac:dyDescent="0.25">
      <c r="B29" s="59"/>
      <c r="C29" s="59"/>
      <c r="D29" s="59"/>
      <c r="E29" s="59"/>
      <c r="F29" s="59"/>
      <c r="G29" s="59"/>
      <c r="H29" s="59"/>
      <c r="I29" s="59"/>
      <c r="J29" s="59"/>
      <c r="K29" s="59"/>
      <c r="L29" s="59"/>
      <c r="M29" s="59"/>
      <c r="N29" s="59"/>
      <c r="O29" s="59"/>
      <c r="P29" s="59"/>
      <c r="Q29" s="59"/>
    </row>
    <row r="30" spans="2:17" x14ac:dyDescent="0.25">
      <c r="B30" s="59" t="s">
        <v>243</v>
      </c>
      <c r="D30" s="59"/>
      <c r="E30" s="59"/>
      <c r="F30" s="59"/>
      <c r="G30" s="59"/>
      <c r="H30" s="59"/>
      <c r="I30" s="59"/>
      <c r="J30" s="59"/>
      <c r="K30" s="59"/>
      <c r="L30" s="59"/>
      <c r="M30" s="59"/>
      <c r="N30" s="59"/>
      <c r="O30" s="59"/>
      <c r="P30" s="59"/>
      <c r="Q30" s="59"/>
    </row>
    <row r="31" spans="2:17" x14ac:dyDescent="0.25">
      <c r="B31" s="122" t="s">
        <v>251</v>
      </c>
    </row>
    <row r="32" spans="2:17" x14ac:dyDescent="0.25">
      <c r="B32" s="207" t="s">
        <v>242</v>
      </c>
      <c r="C32" s="207"/>
      <c r="D32" s="207"/>
      <c r="E32" s="207"/>
      <c r="F32" s="207"/>
      <c r="G32" s="207"/>
      <c r="H32" s="207"/>
      <c r="I32" s="207"/>
      <c r="J32" s="207"/>
      <c r="K32" s="207"/>
      <c r="L32" s="207"/>
      <c r="M32" s="207"/>
      <c r="N32" s="59"/>
      <c r="O32" s="59"/>
      <c r="P32" s="59"/>
      <c r="Q32" s="59"/>
    </row>
    <row r="33" spans="2:17" x14ac:dyDescent="0.25">
      <c r="B33" s="59"/>
      <c r="D33" s="59"/>
      <c r="E33" s="59"/>
      <c r="F33" s="59"/>
      <c r="G33" s="59"/>
      <c r="H33" s="59"/>
      <c r="I33" s="59"/>
      <c r="J33" s="59"/>
      <c r="K33" s="59"/>
      <c r="L33" s="59"/>
      <c r="M33" s="59"/>
      <c r="N33" s="59"/>
      <c r="O33" s="59"/>
      <c r="P33" s="59"/>
      <c r="Q33" s="59"/>
    </row>
    <row r="34" spans="2:17" x14ac:dyDescent="0.25">
      <c r="B34" s="59" t="s">
        <v>234</v>
      </c>
      <c r="D34" s="59"/>
      <c r="E34" s="59"/>
      <c r="F34" s="59"/>
      <c r="G34" s="59"/>
      <c r="H34" s="59"/>
      <c r="I34" s="59"/>
      <c r="J34" s="59"/>
      <c r="K34" s="59"/>
      <c r="L34" s="59"/>
      <c r="M34" s="59"/>
      <c r="N34" s="59"/>
      <c r="O34" s="59"/>
      <c r="P34" s="59"/>
      <c r="Q34" s="59"/>
    </row>
    <row r="35" spans="2:17" x14ac:dyDescent="0.25">
      <c r="B35" s="59"/>
      <c r="C35" s="56" t="s">
        <v>244</v>
      </c>
      <c r="D35" s="59"/>
      <c r="E35" s="59"/>
      <c r="F35" s="59"/>
      <c r="G35" s="59"/>
      <c r="H35" s="59"/>
      <c r="I35" s="59"/>
      <c r="J35" s="59"/>
      <c r="K35" s="59"/>
      <c r="L35" s="59"/>
      <c r="M35" s="59"/>
      <c r="N35" s="59"/>
      <c r="O35" s="59"/>
      <c r="P35" s="59"/>
      <c r="Q35" s="59"/>
    </row>
    <row r="36" spans="2:17" x14ac:dyDescent="0.25">
      <c r="C36" s="59" t="s">
        <v>245</v>
      </c>
    </row>
    <row r="37" spans="2:17" x14ac:dyDescent="0.25">
      <c r="B37" s="59"/>
    </row>
    <row r="38" spans="2:17" x14ac:dyDescent="0.25">
      <c r="B38" s="59"/>
    </row>
  </sheetData>
  <sheetProtection sheet="1" objects="1" scenarios="1"/>
  <mergeCells count="1">
    <mergeCell ref="B32:M32"/>
  </mergeCells>
  <hyperlinks>
    <hyperlink ref="B32" r:id="rId1" xr:uid="{B222853B-E442-45F8-B721-A2411EE81474}"/>
  </hyperlinks>
  <pageMargins left="0.7" right="0.7" top="0.75" bottom="0.75" header="0.3" footer="0.3"/>
  <pageSetup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C555-7C98-44CA-ABB8-502197FE7328}">
  <dimension ref="C6:H15"/>
  <sheetViews>
    <sheetView workbookViewId="0"/>
  </sheetViews>
  <sheetFormatPr defaultRowHeight="15" x14ac:dyDescent="0.25"/>
  <cols>
    <col min="1" max="6" width="9.140625" style="1"/>
    <col min="7" max="7" width="14.85546875" style="1" bestFit="1" customWidth="1"/>
    <col min="8" max="8" width="9.5703125" style="1" bestFit="1" customWidth="1"/>
    <col min="9" max="16384" width="9.140625" style="1"/>
  </cols>
  <sheetData>
    <row r="6" spans="3:8" x14ac:dyDescent="0.25">
      <c r="F6" s="4">
        <v>76.900000000000006</v>
      </c>
      <c r="G6" s="1" t="s">
        <v>27</v>
      </c>
    </row>
    <row r="9" spans="3:8" x14ac:dyDescent="0.25">
      <c r="C9" s="2" t="s">
        <v>28</v>
      </c>
      <c r="D9" s="2" t="s">
        <v>29</v>
      </c>
      <c r="F9" s="2" t="s">
        <v>30</v>
      </c>
      <c r="G9" s="2" t="s">
        <v>31</v>
      </c>
      <c r="H9" s="2" t="s">
        <v>32</v>
      </c>
    </row>
    <row r="10" spans="3:8" x14ac:dyDescent="0.25">
      <c r="C10" s="1">
        <v>0</v>
      </c>
      <c r="D10" s="1">
        <v>100</v>
      </c>
      <c r="F10" s="5">
        <v>3</v>
      </c>
      <c r="G10" s="3">
        <f>F10*$F$6</f>
        <v>230.70000000000002</v>
      </c>
      <c r="H10" s="3">
        <f t="shared" ref="H10:H15" si="0">G10/12</f>
        <v>19.225000000000001</v>
      </c>
    </row>
    <row r="11" spans="3:8" x14ac:dyDescent="0.25">
      <c r="C11" s="1">
        <v>101</v>
      </c>
      <c r="D11" s="1">
        <v>2500</v>
      </c>
      <c r="F11" s="5">
        <v>34.446666666666665</v>
      </c>
      <c r="G11" s="3">
        <f t="shared" ref="G11:G15" si="1">F11*$F$6</f>
        <v>2648.9486666666667</v>
      </c>
      <c r="H11" s="3">
        <f t="shared" si="0"/>
        <v>220.74572222222221</v>
      </c>
    </row>
    <row r="12" spans="3:8" x14ac:dyDescent="0.25">
      <c r="C12" s="1">
        <v>2501</v>
      </c>
      <c r="D12" s="1">
        <v>5000</v>
      </c>
      <c r="F12" s="5">
        <v>37.22</v>
      </c>
      <c r="G12" s="3">
        <f t="shared" si="1"/>
        <v>2862.2180000000003</v>
      </c>
      <c r="H12" s="3">
        <f t="shared" si="0"/>
        <v>238.5181666666667</v>
      </c>
    </row>
    <row r="13" spans="3:8" x14ac:dyDescent="0.25">
      <c r="C13" s="1">
        <v>5001</v>
      </c>
      <c r="D13" s="1">
        <v>12500</v>
      </c>
      <c r="F13" s="5">
        <v>40</v>
      </c>
      <c r="G13" s="3">
        <f t="shared" si="1"/>
        <v>3076</v>
      </c>
      <c r="H13" s="3">
        <f t="shared" si="0"/>
        <v>256.33333333333331</v>
      </c>
    </row>
    <row r="14" spans="3:8" x14ac:dyDescent="0.25">
      <c r="C14" s="1">
        <v>12501</v>
      </c>
      <c r="D14" s="1">
        <v>19167</v>
      </c>
      <c r="F14" s="5">
        <v>42.78</v>
      </c>
      <c r="G14" s="3">
        <f t="shared" si="1"/>
        <v>3289.7820000000002</v>
      </c>
      <c r="H14" s="3">
        <f t="shared" si="0"/>
        <v>274.14850000000001</v>
      </c>
    </row>
    <row r="15" spans="3:8" x14ac:dyDescent="0.25">
      <c r="C15" s="1">
        <v>19168</v>
      </c>
      <c r="F15" s="5">
        <v>45.553333333333327</v>
      </c>
      <c r="G15" s="3">
        <f t="shared" si="1"/>
        <v>3503.0513333333333</v>
      </c>
      <c r="H15" s="3">
        <f t="shared" si="0"/>
        <v>291.92094444444444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DF2F-2A66-465B-B821-BA8F5136B215}">
  <dimension ref="B5:N18"/>
  <sheetViews>
    <sheetView showGridLines="0" zoomScale="120" zoomScaleNormal="120" workbookViewId="0">
      <selection activeCell="A4" sqref="A4"/>
    </sheetView>
  </sheetViews>
  <sheetFormatPr defaultRowHeight="15" x14ac:dyDescent="0.25"/>
  <cols>
    <col min="1" max="1" width="2.7109375" style="48" customWidth="1"/>
    <col min="2" max="2" width="33.7109375" style="48" customWidth="1"/>
    <col min="3" max="3" width="13.7109375" style="48" customWidth="1"/>
    <col min="4" max="4" width="2.7109375" style="48" customWidth="1"/>
    <col min="5" max="5" width="13.7109375" style="48" customWidth="1"/>
    <col min="6" max="6" width="2.7109375" style="48" customWidth="1"/>
    <col min="7" max="7" width="13.7109375" style="48" customWidth="1"/>
    <col min="8" max="8" width="2.7109375" style="48" customWidth="1"/>
    <col min="9" max="9" width="19.42578125" style="48" bestFit="1" customWidth="1"/>
    <col min="10" max="10" width="2.7109375" style="48" customWidth="1"/>
    <col min="11" max="16384" width="9.140625" style="48"/>
  </cols>
  <sheetData>
    <row r="5" spans="2:14" ht="20.25" x14ac:dyDescent="0.3">
      <c r="B5" s="55" t="s">
        <v>155</v>
      </c>
    </row>
    <row r="6" spans="2:14" ht="20.25" x14ac:dyDescent="0.3">
      <c r="B6" s="47"/>
    </row>
    <row r="7" spans="2:14" x14ac:dyDescent="0.25">
      <c r="B7" s="49" t="s">
        <v>200</v>
      </c>
    </row>
    <row r="10" spans="2:14" x14ac:dyDescent="0.25">
      <c r="C10" s="208" t="s">
        <v>68</v>
      </c>
      <c r="D10" s="208"/>
      <c r="E10" s="208"/>
      <c r="F10" s="208"/>
      <c r="G10" s="208"/>
      <c r="H10" s="163"/>
      <c r="I10" s="163"/>
      <c r="J10" s="163"/>
    </row>
    <row r="11" spans="2:14" ht="15.75" thickBot="1" x14ac:dyDescent="0.3">
      <c r="C11" s="53" t="s">
        <v>34</v>
      </c>
      <c r="D11" s="54"/>
      <c r="E11" s="53" t="s">
        <v>35</v>
      </c>
      <c r="F11" s="54"/>
      <c r="G11" s="53" t="s">
        <v>47</v>
      </c>
      <c r="H11" s="54"/>
      <c r="I11" s="54"/>
      <c r="J11" s="54"/>
    </row>
    <row r="12" spans="2:14" ht="15.75" thickBot="1" x14ac:dyDescent="0.3">
      <c r="B12" s="50" t="s">
        <v>108</v>
      </c>
      <c r="C12" s="181">
        <f>Revenue!H83</f>
        <v>18834.365682525568</v>
      </c>
      <c r="D12" s="182"/>
      <c r="E12" s="181">
        <f>Revenue!I83</f>
        <v>22636.749627791563</v>
      </c>
      <c r="F12" s="182"/>
      <c r="G12" s="181">
        <f>Revenue!J83</f>
        <v>3802.3839452659968</v>
      </c>
      <c r="H12" s="134"/>
      <c r="I12" s="75" t="str">
        <f>IF(G12&gt;0,"Revenue increased",IF(G12&lt;0,"Revenue decreased","No change"))</f>
        <v>Revenue increased</v>
      </c>
      <c r="J12" s="75"/>
      <c r="K12" s="209" t="s">
        <v>133</v>
      </c>
      <c r="L12" s="209"/>
      <c r="M12" s="209"/>
      <c r="N12" s="209"/>
    </row>
    <row r="13" spans="2:14" ht="15.75" thickBot="1" x14ac:dyDescent="0.3">
      <c r="B13" s="51"/>
      <c r="C13" s="183"/>
      <c r="D13" s="184"/>
      <c r="E13" s="183"/>
      <c r="F13" s="184"/>
      <c r="G13" s="183"/>
    </row>
    <row r="14" spans="2:14" ht="15.75" thickBot="1" x14ac:dyDescent="0.3">
      <c r="B14" s="52" t="s">
        <v>134</v>
      </c>
      <c r="C14" s="181">
        <f>'Minimum Wage calculator'!F80</f>
        <v>7079.8485333333338</v>
      </c>
      <c r="D14" s="182"/>
      <c r="E14" s="181">
        <f>'Minimum Wage calculator'!G80</f>
        <v>7850.3698000000004</v>
      </c>
      <c r="F14" s="182"/>
      <c r="G14" s="181">
        <f>'Minimum Wage calculator'!H80</f>
        <v>770.52126666666686</v>
      </c>
      <c r="H14" s="134"/>
      <c r="I14" s="75" t="str">
        <f>IF(G14&gt;0,"Costs increased",IF(G14&lt;0,"Costs decreased","No change"))</f>
        <v>Costs increased</v>
      </c>
      <c r="J14" s="134"/>
      <c r="K14" s="209" t="s">
        <v>133</v>
      </c>
      <c r="L14" s="209"/>
      <c r="M14" s="209"/>
      <c r="N14" s="209"/>
    </row>
    <row r="15" spans="2:14" ht="15.75" thickBot="1" x14ac:dyDescent="0.3">
      <c r="B15" s="50" t="s">
        <v>109</v>
      </c>
      <c r="C15" s="181">
        <f>'NI calculator'!G58</f>
        <v>20520.600000000002</v>
      </c>
      <c r="D15" s="182"/>
      <c r="E15" s="181">
        <f>'NI calculator'!H58</f>
        <v>25500</v>
      </c>
      <c r="F15" s="182"/>
      <c r="G15" s="181">
        <f>'NI calculator'!I58</f>
        <v>4979.3999999999978</v>
      </c>
      <c r="H15" s="134"/>
      <c r="I15" s="75" t="str">
        <f>IF(G15&gt;0,"Costs increased",IF(G15&lt;0,"Costs decreased","No change"))</f>
        <v>Costs increased</v>
      </c>
      <c r="J15" s="134"/>
      <c r="K15" s="209" t="s">
        <v>133</v>
      </c>
      <c r="L15" s="209"/>
      <c r="M15" s="209"/>
      <c r="N15" s="209"/>
    </row>
    <row r="16" spans="2:14" ht="15.75" thickBot="1" x14ac:dyDescent="0.3">
      <c r="B16" s="52" t="s">
        <v>110</v>
      </c>
      <c r="C16" s="181">
        <f>'Other Costs'!C62</f>
        <v>20000</v>
      </c>
      <c r="D16" s="182"/>
      <c r="E16" s="181">
        <f>'Other Costs'!D62</f>
        <v>24000</v>
      </c>
      <c r="F16" s="182"/>
      <c r="G16" s="181">
        <f>'Other Costs'!E62</f>
        <v>4000</v>
      </c>
      <c r="H16" s="134"/>
      <c r="I16" s="75" t="str">
        <f>IF(G16&gt;0,"Costs increased",IF(G16&lt;0,"Costs decreased","No change"))</f>
        <v>Costs increased</v>
      </c>
      <c r="J16" s="134"/>
      <c r="K16" s="209" t="s">
        <v>133</v>
      </c>
      <c r="L16" s="209"/>
      <c r="M16" s="209"/>
      <c r="N16" s="209"/>
    </row>
    <row r="17" spans="2:10" ht="15.75" thickBot="1" x14ac:dyDescent="0.3">
      <c r="B17" s="51"/>
      <c r="C17" s="183"/>
      <c r="D17" s="184"/>
      <c r="E17" s="183"/>
      <c r="F17" s="184"/>
      <c r="G17" s="183"/>
    </row>
    <row r="18" spans="2:10" ht="15.75" thickBot="1" x14ac:dyDescent="0.3">
      <c r="B18" s="52" t="s">
        <v>56</v>
      </c>
      <c r="C18" s="185">
        <f>C12-C14-C15-C16</f>
        <v>-28766.082850807768</v>
      </c>
      <c r="D18" s="186"/>
      <c r="E18" s="185">
        <f>E12-E14-E15-E16</f>
        <v>-34713.620172208437</v>
      </c>
      <c r="F18" s="186"/>
      <c r="G18" s="185">
        <f>E18-C18</f>
        <v>-5947.5373214006686</v>
      </c>
      <c r="H18" s="135"/>
      <c r="I18" s="75" t="str">
        <f>IF(G18&gt;0,"Profitability increased",IF(G18&lt;0,"Profitability decreased","No change"))</f>
        <v>Profitability decreased</v>
      </c>
      <c r="J18" s="135"/>
    </row>
  </sheetData>
  <sheetProtection sheet="1" objects="1" scenarios="1"/>
  <mergeCells count="5">
    <mergeCell ref="C10:G10"/>
    <mergeCell ref="K12:N12"/>
    <mergeCell ref="K14:N14"/>
    <mergeCell ref="K15:N15"/>
    <mergeCell ref="K16:N16"/>
  </mergeCells>
  <conditionalFormatting sqref="G12">
    <cfRule type="cellIs" dxfId="5" priority="5" operator="lessThan">
      <formula>0</formula>
    </cfRule>
    <cfRule type="cellIs" dxfId="4" priority="6" operator="greaterThan">
      <formula>0</formula>
    </cfRule>
  </conditionalFormatting>
  <conditionalFormatting sqref="G14:G16">
    <cfRule type="cellIs" dxfId="3" priority="3" operator="lessThan">
      <formula>0</formula>
    </cfRule>
    <cfRule type="cellIs" dxfId="2" priority="4" operator="greaterThan">
      <formula>0</formula>
    </cfRule>
  </conditionalFormatting>
  <conditionalFormatting sqref="G18">
    <cfRule type="cellIs" dxfId="1" priority="1" operator="greaterThan">
      <formula>0</formula>
    </cfRule>
    <cfRule type="cellIs" dxfId="0" priority="2" operator="lessThan">
      <formula>0</formula>
    </cfRule>
  </conditionalFormatting>
  <hyperlinks>
    <hyperlink ref="K12" location="Revenue!A1" display="to amend these figures click here" xr:uid="{0321A35D-7707-4F8C-A88B-CEB5BF901DBC}"/>
    <hyperlink ref="K14" location="'Minimum Wage calculator'!A1" display="to amend these figures click here" xr:uid="{F436E8C6-836E-4E83-AD97-DBF33EB43EE1}"/>
    <hyperlink ref="K15" location="'NI calculator'!A1" display="to amend these figures click here" xr:uid="{CE471D28-ED47-45FA-9E4C-996504E0F582}"/>
    <hyperlink ref="K16" location="'Other Costs'!A1" display="to amend these figures click here" xr:uid="{8DDBB70F-E111-46FD-89DD-505E557261B2}"/>
    <hyperlink ref="K12:N12" location="Revenue!A1" display="to amend these figures click here" xr:uid="{D799B301-3BF3-4BE4-A1E9-CA8FDC88BDAA}"/>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1DE28-ECD1-4400-97E9-09C13A50533B}">
  <dimension ref="B5:J86"/>
  <sheetViews>
    <sheetView showGridLines="0" zoomScale="120" zoomScaleNormal="120" workbookViewId="0">
      <selection activeCell="A4" sqref="A4"/>
    </sheetView>
  </sheetViews>
  <sheetFormatPr defaultRowHeight="15" x14ac:dyDescent="0.25"/>
  <cols>
    <col min="1" max="1" width="2.7109375" style="104" customWidth="1"/>
    <col min="2" max="2" width="126.7109375" style="104" customWidth="1"/>
    <col min="3" max="3" width="10.7109375" style="104" customWidth="1"/>
    <col min="4" max="4" width="2.7109375" style="105" customWidth="1"/>
    <col min="5" max="6" width="10.7109375" style="104" customWidth="1"/>
    <col min="7" max="7" width="2.7109375" style="105" customWidth="1"/>
    <col min="8" max="10" width="12.7109375" style="104" customWidth="1"/>
    <col min="11" max="11" width="9.140625" style="104"/>
    <col min="12" max="12" width="60.7109375" style="104" customWidth="1"/>
    <col min="13" max="13" width="9.140625" style="104"/>
    <col min="14" max="14" width="2.7109375" style="104" customWidth="1"/>
    <col min="15" max="16" width="9.140625" style="104"/>
    <col min="17" max="17" width="2.7109375" style="104" customWidth="1"/>
    <col min="18" max="16384" width="9.140625" style="104"/>
  </cols>
  <sheetData>
    <row r="5" spans="2:10" ht="20.25" x14ac:dyDescent="0.3">
      <c r="B5" s="106" t="s">
        <v>139</v>
      </c>
      <c r="C5" s="107"/>
      <c r="D5" s="108"/>
      <c r="E5" s="107"/>
      <c r="F5" s="107"/>
      <c r="G5" s="108"/>
      <c r="H5" s="107"/>
      <c r="I5" s="107"/>
      <c r="J5" s="107"/>
    </row>
    <row r="6" spans="2:10" x14ac:dyDescent="0.25">
      <c r="B6" s="107"/>
      <c r="C6" s="107"/>
      <c r="D6" s="108"/>
      <c r="E6" s="107"/>
      <c r="F6" s="107"/>
      <c r="G6" s="108"/>
      <c r="H6" s="107"/>
      <c r="I6" s="107"/>
      <c r="J6" s="107"/>
    </row>
    <row r="7" spans="2:10" x14ac:dyDescent="0.25">
      <c r="B7" s="174" t="s">
        <v>197</v>
      </c>
      <c r="C7" s="107"/>
      <c r="D7" s="108"/>
      <c r="E7" s="107"/>
      <c r="F7" s="107"/>
      <c r="G7" s="108"/>
      <c r="H7" s="107"/>
      <c r="I7" s="107"/>
      <c r="J7" s="107"/>
    </row>
    <row r="8" spans="2:10" x14ac:dyDescent="0.25">
      <c r="B8" s="175" t="s">
        <v>235</v>
      </c>
      <c r="C8" s="107"/>
      <c r="D8" s="108"/>
      <c r="E8" s="107"/>
      <c r="F8" s="107"/>
      <c r="G8" s="108"/>
      <c r="H8" s="107"/>
      <c r="I8" s="107"/>
      <c r="J8" s="107"/>
    </row>
    <row r="9" spans="2:10" ht="30" customHeight="1" x14ac:dyDescent="0.25">
      <c r="B9" s="212" t="s">
        <v>236</v>
      </c>
      <c r="C9" s="212"/>
      <c r="D9" s="212"/>
      <c r="E9" s="212"/>
      <c r="F9" s="212"/>
      <c r="G9" s="212"/>
      <c r="H9" s="212"/>
      <c r="I9" s="212"/>
      <c r="J9" s="212"/>
    </row>
    <row r="10" spans="2:10" ht="30" customHeight="1" x14ac:dyDescent="0.25">
      <c r="B10" s="213" t="s">
        <v>237</v>
      </c>
      <c r="C10" s="213"/>
      <c r="D10" s="213"/>
      <c r="E10" s="213"/>
      <c r="F10" s="213"/>
      <c r="G10" s="213"/>
      <c r="H10" s="213"/>
      <c r="I10" s="213"/>
      <c r="J10" s="213"/>
    </row>
    <row r="11" spans="2:10" x14ac:dyDescent="0.25">
      <c r="B11" s="176" t="s">
        <v>199</v>
      </c>
      <c r="C11" s="107"/>
      <c r="D11" s="108"/>
      <c r="E11" s="107"/>
      <c r="F11" s="107"/>
      <c r="G11" s="108"/>
      <c r="H11" s="107"/>
      <c r="I11" s="107"/>
      <c r="J11" s="107"/>
    </row>
    <row r="12" spans="2:10" x14ac:dyDescent="0.25">
      <c r="B12" s="107"/>
      <c r="C12" s="107"/>
      <c r="D12" s="108"/>
      <c r="E12" s="107"/>
      <c r="F12" s="107"/>
      <c r="G12" s="108"/>
      <c r="H12" s="107"/>
      <c r="I12" s="107"/>
      <c r="J12" s="107"/>
    </row>
    <row r="13" spans="2:10" x14ac:dyDescent="0.25">
      <c r="B13" s="109" t="s">
        <v>135</v>
      </c>
      <c r="C13" s="107"/>
      <c r="D13" s="108"/>
      <c r="E13" s="107"/>
      <c r="F13" s="107"/>
      <c r="G13" s="108"/>
      <c r="H13" s="107"/>
      <c r="I13" s="107"/>
      <c r="J13" s="107"/>
    </row>
    <row r="14" spans="2:10" x14ac:dyDescent="0.25">
      <c r="B14" s="110" t="s">
        <v>153</v>
      </c>
      <c r="C14" s="110"/>
      <c r="D14" s="110"/>
      <c r="E14" s="110"/>
      <c r="F14" s="110"/>
      <c r="G14" s="110"/>
      <c r="H14" s="110"/>
      <c r="I14" s="110"/>
      <c r="J14" s="110"/>
    </row>
    <row r="15" spans="2:10" x14ac:dyDescent="0.25">
      <c r="B15" s="111" t="s">
        <v>154</v>
      </c>
      <c r="C15" s="111"/>
      <c r="D15" s="111"/>
      <c r="E15" s="111"/>
      <c r="F15" s="111"/>
      <c r="G15" s="111"/>
      <c r="H15" s="111"/>
      <c r="I15" s="111"/>
      <c r="J15" s="111"/>
    </row>
    <row r="16" spans="2:10" s="112" customFormat="1" x14ac:dyDescent="0.25">
      <c r="B16" s="113"/>
      <c r="C16" s="113"/>
      <c r="D16" s="113"/>
      <c r="E16" s="113"/>
      <c r="F16" s="113"/>
      <c r="G16" s="113"/>
      <c r="H16" s="113"/>
      <c r="I16" s="113"/>
      <c r="J16" s="113"/>
    </row>
    <row r="17" spans="2:10" s="112" customFormat="1" x14ac:dyDescent="0.25">
      <c r="B17" s="114" t="s">
        <v>136</v>
      </c>
      <c r="C17" s="113"/>
      <c r="D17" s="113"/>
      <c r="E17" s="113"/>
      <c r="F17" s="113"/>
      <c r="G17" s="113"/>
      <c r="H17" s="113"/>
      <c r="I17" s="113"/>
      <c r="J17" s="113"/>
    </row>
    <row r="18" spans="2:10" x14ac:dyDescent="0.25">
      <c r="B18" s="115" t="s">
        <v>137</v>
      </c>
      <c r="C18" s="115"/>
      <c r="D18" s="115"/>
      <c r="E18" s="115"/>
      <c r="F18" s="115"/>
      <c r="G18" s="115"/>
      <c r="H18" s="115"/>
      <c r="I18" s="115"/>
      <c r="J18" s="115"/>
    </row>
    <row r="19" spans="2:10" ht="30.75" customHeight="1" x14ac:dyDescent="0.25">
      <c r="B19" s="211" t="s">
        <v>138</v>
      </c>
      <c r="C19" s="211"/>
      <c r="D19" s="211"/>
      <c r="E19" s="211"/>
      <c r="F19" s="211"/>
      <c r="G19" s="211"/>
      <c r="H19" s="211"/>
      <c r="I19" s="211"/>
      <c r="J19" s="211"/>
    </row>
    <row r="20" spans="2:10" x14ac:dyDescent="0.25">
      <c r="B20" s="107"/>
      <c r="C20" s="107"/>
      <c r="D20" s="108"/>
      <c r="E20" s="107"/>
      <c r="F20" s="107"/>
      <c r="G20" s="108"/>
      <c r="H20" s="107"/>
      <c r="I20" s="107"/>
      <c r="J20" s="107"/>
    </row>
    <row r="21" spans="2:10" x14ac:dyDescent="0.25">
      <c r="B21" s="113"/>
      <c r="C21" s="116"/>
      <c r="D21" s="116"/>
      <c r="E21" s="210" t="s">
        <v>36</v>
      </c>
      <c r="F21" s="210"/>
      <c r="G21" s="116"/>
      <c r="H21" s="210" t="s">
        <v>37</v>
      </c>
      <c r="I21" s="210"/>
      <c r="J21" s="210"/>
    </row>
    <row r="22" spans="2:10" ht="15.75" thickBot="1" x14ac:dyDescent="0.3">
      <c r="B22" s="117" t="s">
        <v>81</v>
      </c>
      <c r="C22" s="118" t="s">
        <v>3</v>
      </c>
      <c r="D22" s="118"/>
      <c r="E22" s="118" t="s">
        <v>34</v>
      </c>
      <c r="F22" s="118" t="s">
        <v>35</v>
      </c>
      <c r="G22" s="118"/>
      <c r="H22" s="118" t="s">
        <v>34</v>
      </c>
      <c r="I22" s="118" t="s">
        <v>35</v>
      </c>
      <c r="J22" s="118" t="s">
        <v>107</v>
      </c>
    </row>
    <row r="23" spans="2:10" ht="15.75" thickBot="1" x14ac:dyDescent="0.3">
      <c r="B23" s="108" t="s">
        <v>246</v>
      </c>
      <c r="C23" s="78">
        <v>8000</v>
      </c>
      <c r="D23" s="119"/>
      <c r="E23" s="120">
        <v>1.27</v>
      </c>
      <c r="F23" s="120">
        <v>1.46</v>
      </c>
      <c r="G23" s="119"/>
      <c r="H23" s="120">
        <f t="shared" ref="H23" si="0">$C23*E23</f>
        <v>10160</v>
      </c>
      <c r="I23" s="120">
        <f t="shared" ref="I23" si="1">$C23*F23</f>
        <v>11680</v>
      </c>
      <c r="J23" s="120">
        <f t="shared" ref="J23" si="2">I23-H23</f>
        <v>1520</v>
      </c>
    </row>
    <row r="24" spans="2:10" ht="15.75" thickBot="1" x14ac:dyDescent="0.3">
      <c r="B24" s="108" t="s">
        <v>224</v>
      </c>
      <c r="C24" s="177">
        <v>1</v>
      </c>
      <c r="D24" s="119"/>
      <c r="E24" s="121">
        <f>$C24*800/1124.5</f>
        <v>0.71142730102267671</v>
      </c>
      <c r="F24" s="120">
        <f>$C24*900/1209</f>
        <v>0.74441687344913154</v>
      </c>
      <c r="G24" s="119"/>
      <c r="H24" s="120">
        <f>$C$23*E24</f>
        <v>5691.4184081814137</v>
      </c>
      <c r="I24" s="120">
        <f>$C$23*F24</f>
        <v>5955.3349875930526</v>
      </c>
      <c r="J24" s="120">
        <f t="shared" ref="J24:J28" si="3">I24-H24</f>
        <v>263.91657941163885</v>
      </c>
    </row>
    <row r="25" spans="2:10" ht="15.75" thickBot="1" x14ac:dyDescent="0.3">
      <c r="B25" s="128" t="s">
        <v>94</v>
      </c>
      <c r="C25" s="108"/>
      <c r="D25" s="108"/>
      <c r="E25" s="108"/>
      <c r="F25" s="108"/>
      <c r="G25" s="108"/>
      <c r="H25" s="139">
        <f>SUM(H23:H24)</f>
        <v>15851.418408181413</v>
      </c>
      <c r="I25" s="139">
        <f>SUM(I23:I24)</f>
        <v>17635.334987593051</v>
      </c>
      <c r="J25" s="139">
        <f>SUM(J23:J24)</f>
        <v>1783.9165794116388</v>
      </c>
    </row>
    <row r="26" spans="2:10" x14ac:dyDescent="0.25">
      <c r="B26" s="130"/>
      <c r="C26" s="108"/>
      <c r="D26" s="108"/>
      <c r="E26" s="108"/>
      <c r="F26" s="108"/>
      <c r="G26" s="108"/>
      <c r="H26" s="108"/>
      <c r="I26" s="108"/>
      <c r="J26" s="108"/>
    </row>
    <row r="27" spans="2:10" ht="15.75" thickBot="1" x14ac:dyDescent="0.3">
      <c r="B27" s="130" t="s">
        <v>229</v>
      </c>
      <c r="C27" s="118" t="s">
        <v>3</v>
      </c>
      <c r="D27" s="118"/>
      <c r="E27" s="118" t="s">
        <v>34</v>
      </c>
      <c r="F27" s="118" t="s">
        <v>35</v>
      </c>
      <c r="G27" s="118"/>
      <c r="H27" s="118" t="s">
        <v>34</v>
      </c>
      <c r="I27" s="118" t="s">
        <v>35</v>
      </c>
      <c r="J27" s="118" t="s">
        <v>107</v>
      </c>
    </row>
    <row r="28" spans="2:10" ht="15.75" thickBot="1" x14ac:dyDescent="0.3">
      <c r="B28" s="122" t="s">
        <v>168</v>
      </c>
      <c r="C28" s="78"/>
      <c r="D28" s="119"/>
      <c r="E28" s="120">
        <v>20</v>
      </c>
      <c r="F28" s="120">
        <v>20</v>
      </c>
      <c r="G28" s="119"/>
      <c r="H28" s="120">
        <f t="shared" ref="H28:H38" si="4">$C28*E28</f>
        <v>0</v>
      </c>
      <c r="I28" s="120">
        <f t="shared" ref="I28:I38" si="5">$C28*F28</f>
        <v>0</v>
      </c>
      <c r="J28" s="120">
        <f t="shared" si="3"/>
        <v>0</v>
      </c>
    </row>
    <row r="29" spans="2:10" ht="15.75" thickBot="1" x14ac:dyDescent="0.3">
      <c r="B29" s="123" t="s">
        <v>82</v>
      </c>
      <c r="C29" s="78"/>
      <c r="D29" s="119"/>
      <c r="E29" s="120">
        <v>2.6</v>
      </c>
      <c r="F29" s="120">
        <v>2.6</v>
      </c>
      <c r="G29" s="119"/>
      <c r="H29" s="120">
        <f t="shared" si="4"/>
        <v>0</v>
      </c>
      <c r="I29" s="120">
        <f t="shared" si="5"/>
        <v>0</v>
      </c>
      <c r="J29" s="120">
        <f t="shared" ref="J29:J38" si="6">I29-H29</f>
        <v>0</v>
      </c>
    </row>
    <row r="30" spans="2:10" ht="15.75" thickBot="1" x14ac:dyDescent="0.3">
      <c r="B30" s="123" t="s">
        <v>83</v>
      </c>
      <c r="C30" s="78"/>
      <c r="D30" s="119"/>
      <c r="E30" s="120">
        <v>3.4</v>
      </c>
      <c r="F30" s="120">
        <v>3.4</v>
      </c>
      <c r="G30" s="119"/>
      <c r="H30" s="120">
        <f t="shared" si="4"/>
        <v>0</v>
      </c>
      <c r="I30" s="120">
        <f t="shared" si="5"/>
        <v>0</v>
      </c>
      <c r="J30" s="120">
        <f t="shared" si="6"/>
        <v>0</v>
      </c>
    </row>
    <row r="31" spans="2:10" ht="15.75" thickBot="1" x14ac:dyDescent="0.3">
      <c r="B31" s="122" t="s">
        <v>84</v>
      </c>
      <c r="C31" s="78"/>
      <c r="D31" s="119"/>
      <c r="E31" s="124">
        <v>9.3000000000000007</v>
      </c>
      <c r="F31" s="124">
        <v>9.3000000000000007</v>
      </c>
      <c r="G31" s="119"/>
      <c r="H31" s="120">
        <f t="shared" si="4"/>
        <v>0</v>
      </c>
      <c r="I31" s="120">
        <f t="shared" si="5"/>
        <v>0</v>
      </c>
      <c r="J31" s="120">
        <f t="shared" si="6"/>
        <v>0</v>
      </c>
    </row>
    <row r="32" spans="2:10" ht="15.75" thickBot="1" x14ac:dyDescent="0.3">
      <c r="B32" s="122" t="s">
        <v>85</v>
      </c>
      <c r="C32" s="78"/>
      <c r="D32" s="119"/>
      <c r="E32" s="124">
        <v>2.5</v>
      </c>
      <c r="F32" s="124">
        <v>2.5</v>
      </c>
      <c r="G32" s="119"/>
      <c r="H32" s="120">
        <f t="shared" si="4"/>
        <v>0</v>
      </c>
      <c r="I32" s="120">
        <f t="shared" si="5"/>
        <v>0</v>
      </c>
      <c r="J32" s="120">
        <f t="shared" si="6"/>
        <v>0</v>
      </c>
    </row>
    <row r="33" spans="2:10" s="125" customFormat="1" ht="15.75" thickBot="1" x14ac:dyDescent="0.3">
      <c r="B33" s="122" t="s">
        <v>86</v>
      </c>
      <c r="C33" s="79"/>
      <c r="D33" s="126"/>
      <c r="E33" s="127">
        <v>0.55000000000000004</v>
      </c>
      <c r="F33" s="127">
        <v>0.55000000000000004</v>
      </c>
      <c r="G33" s="126"/>
      <c r="H33" s="140">
        <f t="shared" si="4"/>
        <v>0</v>
      </c>
      <c r="I33" s="140">
        <f t="shared" si="5"/>
        <v>0</v>
      </c>
      <c r="J33" s="140">
        <f t="shared" si="6"/>
        <v>0</v>
      </c>
    </row>
    <row r="34" spans="2:10" ht="15.75" thickBot="1" x14ac:dyDescent="0.3">
      <c r="B34" s="122" t="s">
        <v>87</v>
      </c>
      <c r="C34" s="78"/>
      <c r="D34" s="119"/>
      <c r="E34" s="120">
        <v>1.28</v>
      </c>
      <c r="F34" s="120">
        <v>1.28</v>
      </c>
      <c r="G34" s="119"/>
      <c r="H34" s="120">
        <f t="shared" si="4"/>
        <v>0</v>
      </c>
      <c r="I34" s="120">
        <f t="shared" si="5"/>
        <v>0</v>
      </c>
      <c r="J34" s="120">
        <f t="shared" si="6"/>
        <v>0</v>
      </c>
    </row>
    <row r="35" spans="2:10" ht="15.75" thickBot="1" x14ac:dyDescent="0.3">
      <c r="B35" s="122" t="s">
        <v>88</v>
      </c>
      <c r="C35" s="78"/>
      <c r="D35" s="119"/>
      <c r="E35" s="124">
        <v>0.43</v>
      </c>
      <c r="F35" s="124">
        <v>0.43</v>
      </c>
      <c r="G35" s="119"/>
      <c r="H35" s="120">
        <f t="shared" si="4"/>
        <v>0</v>
      </c>
      <c r="I35" s="120">
        <f t="shared" si="5"/>
        <v>0</v>
      </c>
      <c r="J35" s="120">
        <f t="shared" si="6"/>
        <v>0</v>
      </c>
    </row>
    <row r="36" spans="2:10" ht="15.75" thickBot="1" x14ac:dyDescent="0.3">
      <c r="B36" s="122" t="s">
        <v>89</v>
      </c>
      <c r="C36" s="78"/>
      <c r="D36" s="119"/>
      <c r="E36" s="124">
        <v>5.35</v>
      </c>
      <c r="F36" s="124">
        <v>5.35</v>
      </c>
      <c r="G36" s="119"/>
      <c r="H36" s="120">
        <f t="shared" si="4"/>
        <v>0</v>
      </c>
      <c r="I36" s="120">
        <f t="shared" si="5"/>
        <v>0</v>
      </c>
      <c r="J36" s="120">
        <f t="shared" si="6"/>
        <v>0</v>
      </c>
    </row>
    <row r="37" spans="2:10" ht="15.75" thickBot="1" x14ac:dyDescent="0.3">
      <c r="B37" s="122" t="s">
        <v>90</v>
      </c>
      <c r="C37" s="78"/>
      <c r="D37" s="119"/>
      <c r="E37" s="124">
        <v>1.24</v>
      </c>
      <c r="F37" s="124">
        <v>1.24</v>
      </c>
      <c r="G37" s="119"/>
      <c r="H37" s="120">
        <f t="shared" si="4"/>
        <v>0</v>
      </c>
      <c r="I37" s="120">
        <f t="shared" si="5"/>
        <v>0</v>
      </c>
      <c r="J37" s="120">
        <f t="shared" si="6"/>
        <v>0</v>
      </c>
    </row>
    <row r="38" spans="2:10" ht="15.75" thickBot="1" x14ac:dyDescent="0.3">
      <c r="B38" s="122" t="s">
        <v>91</v>
      </c>
      <c r="C38" s="78"/>
      <c r="D38" s="119"/>
      <c r="E38" s="124">
        <v>0.1</v>
      </c>
      <c r="F38" s="124">
        <v>0.1</v>
      </c>
      <c r="G38" s="119"/>
      <c r="H38" s="120">
        <f t="shared" si="4"/>
        <v>0</v>
      </c>
      <c r="I38" s="120">
        <f t="shared" si="5"/>
        <v>0</v>
      </c>
      <c r="J38" s="120">
        <f t="shared" si="6"/>
        <v>0</v>
      </c>
    </row>
    <row r="39" spans="2:10" ht="15.75" thickBot="1" x14ac:dyDescent="0.3">
      <c r="B39" s="128" t="s">
        <v>166</v>
      </c>
      <c r="C39" s="108"/>
      <c r="D39" s="129"/>
      <c r="E39" s="108"/>
      <c r="F39" s="108"/>
      <c r="G39" s="119"/>
      <c r="H39" s="139">
        <f>SUM(H28:H38)</f>
        <v>0</v>
      </c>
      <c r="I39" s="139">
        <f>SUM(I28:I38)</f>
        <v>0</v>
      </c>
      <c r="J39" s="139">
        <f>SUM(J28:J38)</f>
        <v>0</v>
      </c>
    </row>
    <row r="40" spans="2:10" x14ac:dyDescent="0.25">
      <c r="B40" s="128"/>
      <c r="C40" s="108"/>
      <c r="D40" s="129"/>
      <c r="E40" s="108"/>
      <c r="F40" s="108"/>
      <c r="G40" s="119"/>
      <c r="H40" s="172"/>
      <c r="I40" s="172"/>
      <c r="J40" s="172"/>
    </row>
    <row r="41" spans="2:10" x14ac:dyDescent="0.25">
      <c r="B41" s="128" t="s">
        <v>248</v>
      </c>
      <c r="C41" s="108"/>
      <c r="D41" s="129"/>
      <c r="E41" s="108"/>
      <c r="F41" s="108"/>
      <c r="G41" s="119"/>
      <c r="H41" s="159"/>
      <c r="I41" s="159"/>
      <c r="J41" s="159"/>
    </row>
    <row r="42" spans="2:10" ht="15.75" thickBot="1" x14ac:dyDescent="0.3">
      <c r="B42" s="128" t="s">
        <v>247</v>
      </c>
      <c r="C42" s="108"/>
      <c r="D42" s="129"/>
      <c r="E42" s="108"/>
      <c r="F42" s="108"/>
      <c r="G42" s="119"/>
      <c r="H42" s="173"/>
      <c r="I42" s="173"/>
      <c r="J42" s="173"/>
    </row>
    <row r="43" spans="2:10" ht="15.75" thickBot="1" x14ac:dyDescent="0.3">
      <c r="B43" s="108" t="s">
        <v>233</v>
      </c>
      <c r="C43" s="178">
        <f>IF(H39&lt;&gt;0,0,C23)</f>
        <v>8000</v>
      </c>
      <c r="D43" s="119"/>
      <c r="E43" s="121">
        <f>102.1/1124.5</f>
        <v>9.0795909293019117E-2</v>
      </c>
      <c r="F43" s="120">
        <f>106.5/1209</f>
        <v>8.8089330024813894E-2</v>
      </c>
      <c r="G43" s="119"/>
      <c r="H43" s="120">
        <f>$C43*E43</f>
        <v>726.36727434415297</v>
      </c>
      <c r="I43" s="120">
        <f>$C43*F43</f>
        <v>704.71464019851112</v>
      </c>
      <c r="J43" s="120">
        <f>I43-H43</f>
        <v>-21.652634145641855</v>
      </c>
    </row>
    <row r="44" spans="2:10" s="105" customFormat="1" x14ac:dyDescent="0.25">
      <c r="B44" s="108"/>
      <c r="C44" s="108"/>
      <c r="D44" s="108"/>
      <c r="E44" s="108"/>
      <c r="F44" s="108"/>
      <c r="G44" s="116"/>
      <c r="H44" s="210"/>
      <c r="I44" s="210"/>
      <c r="J44" s="210"/>
    </row>
    <row r="45" spans="2:10" ht="15.75" thickBot="1" x14ac:dyDescent="0.3">
      <c r="B45" s="117" t="s">
        <v>128</v>
      </c>
      <c r="C45" s="118" t="s">
        <v>3</v>
      </c>
      <c r="D45" s="118"/>
      <c r="E45" s="118" t="s">
        <v>34</v>
      </c>
      <c r="F45" s="118" t="s">
        <v>35</v>
      </c>
      <c r="G45" s="118"/>
      <c r="H45" s="118" t="s">
        <v>34</v>
      </c>
      <c r="I45" s="118" t="s">
        <v>35</v>
      </c>
      <c r="J45" s="118" t="s">
        <v>47</v>
      </c>
    </row>
    <row r="46" spans="2:10" ht="15.75" thickBot="1" x14ac:dyDescent="0.3">
      <c r="B46" s="108" t="s">
        <v>178</v>
      </c>
      <c r="C46" s="78">
        <v>1</v>
      </c>
      <c r="D46" s="119"/>
      <c r="E46" s="124">
        <v>35</v>
      </c>
      <c r="F46" s="120">
        <v>35</v>
      </c>
      <c r="G46" s="119"/>
      <c r="H46" s="120">
        <f>$C46*E46</f>
        <v>35</v>
      </c>
      <c r="I46" s="120">
        <f>$C46*F46</f>
        <v>35</v>
      </c>
      <c r="J46" s="120">
        <f>I46-H46</f>
        <v>0</v>
      </c>
    </row>
    <row r="47" spans="2:10" ht="15.75" thickBot="1" x14ac:dyDescent="0.3">
      <c r="B47" s="108" t="s">
        <v>179</v>
      </c>
      <c r="C47" s="78">
        <v>0</v>
      </c>
      <c r="D47" s="119"/>
      <c r="E47" s="124">
        <v>12</v>
      </c>
      <c r="F47" s="124">
        <v>12</v>
      </c>
      <c r="G47" s="119"/>
      <c r="H47" s="120">
        <f t="shared" ref="H47:H60" si="7">$C47*E47</f>
        <v>0</v>
      </c>
      <c r="I47" s="120">
        <f t="shared" ref="I47:I60" si="8">$C47*F47</f>
        <v>0</v>
      </c>
      <c r="J47" s="120">
        <f>I47-H47</f>
        <v>0</v>
      </c>
    </row>
    <row r="48" spans="2:10" ht="15.75" thickBot="1" x14ac:dyDescent="0.3">
      <c r="B48" s="108" t="s">
        <v>180</v>
      </c>
      <c r="C48" s="78">
        <v>0</v>
      </c>
      <c r="D48" s="119"/>
      <c r="E48" s="124">
        <v>11</v>
      </c>
      <c r="F48" s="124">
        <v>11</v>
      </c>
      <c r="G48" s="119"/>
      <c r="H48" s="120">
        <f t="shared" si="7"/>
        <v>0</v>
      </c>
      <c r="I48" s="120">
        <f t="shared" si="8"/>
        <v>0</v>
      </c>
      <c r="J48" s="120">
        <f>I48-H48</f>
        <v>0</v>
      </c>
    </row>
    <row r="49" spans="2:10" ht="15.75" thickBot="1" x14ac:dyDescent="0.3">
      <c r="B49" s="108" t="s">
        <v>181</v>
      </c>
      <c r="C49" s="78">
        <v>0</v>
      </c>
      <c r="D49" s="119"/>
      <c r="E49" s="120">
        <v>12</v>
      </c>
      <c r="F49" s="120">
        <v>12</v>
      </c>
      <c r="G49" s="119"/>
      <c r="H49" s="120">
        <f t="shared" si="7"/>
        <v>0</v>
      </c>
      <c r="I49" s="120">
        <f t="shared" si="8"/>
        <v>0</v>
      </c>
      <c r="J49" s="120">
        <f>I49-H49</f>
        <v>0</v>
      </c>
    </row>
    <row r="50" spans="2:10" ht="15.75" thickBot="1" x14ac:dyDescent="0.3">
      <c r="B50" s="108" t="s">
        <v>175</v>
      </c>
      <c r="C50" s="78">
        <v>0</v>
      </c>
      <c r="D50" s="119"/>
      <c r="E50" s="138"/>
      <c r="F50" s="138"/>
      <c r="G50" s="119"/>
      <c r="H50" s="138"/>
      <c r="I50" s="138"/>
      <c r="J50" s="138"/>
    </row>
    <row r="51" spans="2:10" ht="15.75" thickBot="1" x14ac:dyDescent="0.3">
      <c r="B51" s="108" t="s">
        <v>182</v>
      </c>
      <c r="C51" s="179" t="s">
        <v>145</v>
      </c>
      <c r="D51" s="119"/>
      <c r="E51" s="120">
        <f>VLOOKUP(C51,ProfitOptions!E:F,2,FALSE)</f>
        <v>20</v>
      </c>
      <c r="F51" s="138"/>
      <c r="G51" s="119"/>
      <c r="H51" s="120">
        <f>C50*E51</f>
        <v>0</v>
      </c>
      <c r="I51" s="138"/>
      <c r="J51" s="120">
        <f t="shared" ref="J51:J61" si="9">I51-H51</f>
        <v>0</v>
      </c>
    </row>
    <row r="52" spans="2:10" ht="15.75" thickBot="1" x14ac:dyDescent="0.3">
      <c r="B52" s="108" t="s">
        <v>176</v>
      </c>
      <c r="C52" s="78">
        <v>80</v>
      </c>
      <c r="D52" s="119"/>
      <c r="E52" s="138"/>
      <c r="F52" s="120">
        <v>14</v>
      </c>
      <c r="G52" s="119"/>
      <c r="H52" s="138"/>
      <c r="I52" s="120">
        <f t="shared" si="8"/>
        <v>1120</v>
      </c>
      <c r="J52" s="120">
        <f t="shared" si="9"/>
        <v>1120</v>
      </c>
    </row>
    <row r="53" spans="2:10" ht="15.75" thickBot="1" x14ac:dyDescent="0.3">
      <c r="B53" s="108" t="s">
        <v>177</v>
      </c>
      <c r="C53" s="78">
        <v>65</v>
      </c>
      <c r="D53" s="119"/>
      <c r="E53" s="138"/>
      <c r="F53" s="120">
        <v>14</v>
      </c>
      <c r="G53" s="119"/>
      <c r="H53" s="138"/>
      <c r="I53" s="120">
        <f t="shared" si="8"/>
        <v>910</v>
      </c>
      <c r="J53" s="120">
        <f t="shared" si="9"/>
        <v>910</v>
      </c>
    </row>
    <row r="54" spans="2:10" ht="15.75" thickBot="1" x14ac:dyDescent="0.3">
      <c r="B54" s="108" t="s">
        <v>173</v>
      </c>
      <c r="C54" s="78">
        <v>20</v>
      </c>
      <c r="D54" s="119"/>
      <c r="E54" s="120">
        <v>15</v>
      </c>
      <c r="F54" s="120">
        <v>10</v>
      </c>
      <c r="G54" s="119"/>
      <c r="H54" s="120">
        <f t="shared" si="7"/>
        <v>300</v>
      </c>
      <c r="I54" s="120">
        <f t="shared" si="8"/>
        <v>200</v>
      </c>
      <c r="J54" s="120">
        <f t="shared" si="9"/>
        <v>-100</v>
      </c>
    </row>
    <row r="55" spans="2:10" ht="15.75" thickBot="1" x14ac:dyDescent="0.3">
      <c r="B55" s="108" t="s">
        <v>174</v>
      </c>
      <c r="C55" s="78">
        <v>2</v>
      </c>
      <c r="D55" s="119"/>
      <c r="E55" s="124">
        <v>45</v>
      </c>
      <c r="F55" s="120">
        <v>50.85</v>
      </c>
      <c r="G55" s="119"/>
      <c r="H55" s="120">
        <f t="shared" si="7"/>
        <v>90</v>
      </c>
      <c r="I55" s="120">
        <f t="shared" si="8"/>
        <v>101.7</v>
      </c>
      <c r="J55" s="120">
        <f t="shared" si="9"/>
        <v>11.700000000000003</v>
      </c>
    </row>
    <row r="56" spans="2:10" ht="15.75" thickBot="1" x14ac:dyDescent="0.3">
      <c r="B56" s="108" t="s">
        <v>187</v>
      </c>
      <c r="C56" s="78">
        <v>3</v>
      </c>
      <c r="D56" s="119"/>
      <c r="E56" s="124">
        <v>18</v>
      </c>
      <c r="F56" s="120">
        <v>25</v>
      </c>
      <c r="G56" s="119"/>
      <c r="H56" s="120">
        <f t="shared" si="7"/>
        <v>54</v>
      </c>
      <c r="I56" s="120">
        <f t="shared" si="8"/>
        <v>75</v>
      </c>
      <c r="J56" s="120">
        <f t="shared" si="9"/>
        <v>21</v>
      </c>
    </row>
    <row r="57" spans="2:10" ht="15.75" thickBot="1" x14ac:dyDescent="0.3">
      <c r="B57" s="108" t="s">
        <v>188</v>
      </c>
      <c r="C57" s="78">
        <v>1</v>
      </c>
      <c r="D57" s="119"/>
      <c r="E57" s="124">
        <v>18</v>
      </c>
      <c r="F57" s="120">
        <v>25</v>
      </c>
      <c r="G57" s="119"/>
      <c r="H57" s="120">
        <f t="shared" si="7"/>
        <v>18</v>
      </c>
      <c r="I57" s="120">
        <f t="shared" si="8"/>
        <v>25</v>
      </c>
      <c r="J57" s="120">
        <f t="shared" si="9"/>
        <v>7</v>
      </c>
    </row>
    <row r="58" spans="2:10" ht="15.75" thickBot="1" x14ac:dyDescent="0.3">
      <c r="B58" s="108" t="s">
        <v>185</v>
      </c>
      <c r="C58" s="78">
        <v>10</v>
      </c>
      <c r="D58" s="119"/>
      <c r="E58" s="120">
        <v>15</v>
      </c>
      <c r="F58" s="120">
        <v>15</v>
      </c>
      <c r="G58" s="119"/>
      <c r="H58" s="120">
        <f t="shared" si="7"/>
        <v>150</v>
      </c>
      <c r="I58" s="120">
        <f t="shared" si="8"/>
        <v>150</v>
      </c>
      <c r="J58" s="120">
        <f t="shared" si="9"/>
        <v>0</v>
      </c>
    </row>
    <row r="59" spans="2:10" ht="15.75" thickBot="1" x14ac:dyDescent="0.3">
      <c r="B59" s="108" t="s">
        <v>186</v>
      </c>
      <c r="C59" s="78">
        <v>10</v>
      </c>
      <c r="D59" s="119"/>
      <c r="E59" s="124">
        <v>15</v>
      </c>
      <c r="F59" s="120">
        <v>17</v>
      </c>
      <c r="G59" s="119"/>
      <c r="H59" s="120">
        <f t="shared" si="7"/>
        <v>150</v>
      </c>
      <c r="I59" s="120">
        <f t="shared" si="8"/>
        <v>170</v>
      </c>
      <c r="J59" s="120">
        <f t="shared" si="9"/>
        <v>20</v>
      </c>
    </row>
    <row r="60" spans="2:10" ht="15.75" thickBot="1" x14ac:dyDescent="0.3">
      <c r="B60" s="108" t="s">
        <v>184</v>
      </c>
      <c r="C60" s="78">
        <v>30</v>
      </c>
      <c r="D60" s="119"/>
      <c r="E60" s="124">
        <v>15</v>
      </c>
      <c r="F60" s="120">
        <v>17</v>
      </c>
      <c r="G60" s="119"/>
      <c r="H60" s="120">
        <f t="shared" si="7"/>
        <v>450</v>
      </c>
      <c r="I60" s="120">
        <f t="shared" si="8"/>
        <v>510</v>
      </c>
      <c r="J60" s="120">
        <f t="shared" si="9"/>
        <v>60</v>
      </c>
    </row>
    <row r="61" spans="2:10" ht="15.75" thickBot="1" x14ac:dyDescent="0.3">
      <c r="B61" s="108" t="s">
        <v>18</v>
      </c>
      <c r="C61" s="138"/>
      <c r="D61" s="119"/>
      <c r="E61" s="138"/>
      <c r="F61" s="138"/>
      <c r="G61" s="119"/>
      <c r="H61" s="120">
        <f>IF($C60&gt;=30,1000,IF($C60&gt;=20,0,0))</f>
        <v>1000</v>
      </c>
      <c r="I61" s="120">
        <f>IF($C60&gt;=30,1000,IF($C60&gt;=20,0,0))</f>
        <v>1000</v>
      </c>
      <c r="J61" s="120">
        <f t="shared" si="9"/>
        <v>0</v>
      </c>
    </row>
    <row r="62" spans="2:10" ht="15.75" thickBot="1" x14ac:dyDescent="0.3">
      <c r="B62" s="108" t="s">
        <v>172</v>
      </c>
      <c r="C62" s="78">
        <v>0</v>
      </c>
      <c r="D62" s="119"/>
      <c r="E62" s="124">
        <v>28</v>
      </c>
      <c r="F62" s="120">
        <v>28</v>
      </c>
      <c r="G62" s="119"/>
      <c r="H62" s="120">
        <f t="shared" ref="H62:H68" si="10">$C62*E62</f>
        <v>0</v>
      </c>
      <c r="I62" s="120">
        <f t="shared" ref="I62:I68" si="11">$C62*F62</f>
        <v>0</v>
      </c>
      <c r="J62" s="120">
        <f t="shared" ref="J62:J63" si="12">I62-H62</f>
        <v>0</v>
      </c>
    </row>
    <row r="63" spans="2:10" ht="15.75" thickBot="1" x14ac:dyDescent="0.3">
      <c r="B63" s="108" t="s">
        <v>171</v>
      </c>
      <c r="C63" s="78">
        <v>0</v>
      </c>
      <c r="D63" s="119"/>
      <c r="E63" s="124">
        <v>54</v>
      </c>
      <c r="F63" s="120">
        <v>54</v>
      </c>
      <c r="G63" s="119"/>
      <c r="H63" s="120">
        <f t="shared" si="10"/>
        <v>0</v>
      </c>
      <c r="I63" s="120">
        <f t="shared" si="11"/>
        <v>0</v>
      </c>
      <c r="J63" s="120">
        <f t="shared" si="12"/>
        <v>0</v>
      </c>
    </row>
    <row r="64" spans="2:10" ht="15.75" thickBot="1" x14ac:dyDescent="0.3">
      <c r="B64" s="108" t="s">
        <v>21</v>
      </c>
      <c r="C64" s="78">
        <v>0</v>
      </c>
      <c r="D64" s="119"/>
      <c r="E64" s="124">
        <v>4.32</v>
      </c>
      <c r="F64" s="120">
        <v>4.32</v>
      </c>
      <c r="G64" s="119"/>
      <c r="H64" s="120">
        <f t="shared" si="10"/>
        <v>0</v>
      </c>
      <c r="I64" s="120">
        <f t="shared" si="11"/>
        <v>0</v>
      </c>
      <c r="J64" s="120">
        <f t="shared" ref="J64:J68" si="13">I64-H64</f>
        <v>0</v>
      </c>
    </row>
    <row r="65" spans="2:10" ht="15.75" thickBot="1" x14ac:dyDescent="0.3">
      <c r="B65" s="108" t="s">
        <v>152</v>
      </c>
      <c r="C65" s="78">
        <v>0</v>
      </c>
      <c r="D65" s="119"/>
      <c r="E65" s="120">
        <v>30</v>
      </c>
      <c r="F65" s="120">
        <v>30</v>
      </c>
      <c r="G65" s="119"/>
      <c r="H65" s="120">
        <f t="shared" si="10"/>
        <v>0</v>
      </c>
      <c r="I65" s="120">
        <f t="shared" si="11"/>
        <v>0</v>
      </c>
      <c r="J65" s="120">
        <f t="shared" ref="J65" si="14">I65-H65</f>
        <v>0</v>
      </c>
    </row>
    <row r="66" spans="2:10" ht="15.75" thickBot="1" x14ac:dyDescent="0.3">
      <c r="B66" s="108" t="s">
        <v>150</v>
      </c>
      <c r="C66" s="78">
        <v>0</v>
      </c>
      <c r="D66" s="119"/>
      <c r="E66" s="120">
        <v>10</v>
      </c>
      <c r="F66" s="120">
        <v>10</v>
      </c>
      <c r="G66" s="119"/>
      <c r="H66" s="120">
        <f t="shared" ref="H66:H67" si="15">$C66*E66</f>
        <v>0</v>
      </c>
      <c r="I66" s="120">
        <f t="shared" ref="I66:I67" si="16">$C66*F66</f>
        <v>0</v>
      </c>
      <c r="J66" s="120">
        <f t="shared" ref="J66:J67" si="17">I66-H66</f>
        <v>0</v>
      </c>
    </row>
    <row r="67" spans="2:10" ht="15.75" thickBot="1" x14ac:dyDescent="0.3">
      <c r="B67" s="108" t="s">
        <v>151</v>
      </c>
      <c r="C67" s="78">
        <v>0</v>
      </c>
      <c r="D67" s="119"/>
      <c r="E67" s="120">
        <v>40</v>
      </c>
      <c r="F67" s="120">
        <v>40</v>
      </c>
      <c r="G67" s="119"/>
      <c r="H67" s="120">
        <f t="shared" si="15"/>
        <v>0</v>
      </c>
      <c r="I67" s="120">
        <f t="shared" si="16"/>
        <v>0</v>
      </c>
      <c r="J67" s="120">
        <f t="shared" si="17"/>
        <v>0</v>
      </c>
    </row>
    <row r="68" spans="2:10" ht="15.75" thickBot="1" x14ac:dyDescent="0.3">
      <c r="B68" s="108" t="s">
        <v>161</v>
      </c>
      <c r="C68" s="78">
        <v>0</v>
      </c>
      <c r="D68" s="119"/>
      <c r="E68" s="120">
        <v>4</v>
      </c>
      <c r="F68" s="120">
        <v>4.0999999999999996</v>
      </c>
      <c r="G68" s="119"/>
      <c r="H68" s="120">
        <f t="shared" si="10"/>
        <v>0</v>
      </c>
      <c r="I68" s="120">
        <f t="shared" si="11"/>
        <v>0</v>
      </c>
      <c r="J68" s="120">
        <f t="shared" si="13"/>
        <v>0</v>
      </c>
    </row>
    <row r="69" spans="2:10" ht="15.75" thickBot="1" x14ac:dyDescent="0.3">
      <c r="B69" s="128" t="s">
        <v>162</v>
      </c>
      <c r="C69" s="107"/>
      <c r="D69" s="129"/>
      <c r="E69" s="107"/>
      <c r="F69" s="107"/>
      <c r="G69" s="119"/>
      <c r="H69" s="139">
        <f>SUM(H46:H68)</f>
        <v>2247</v>
      </c>
      <c r="I69" s="139">
        <f t="shared" ref="I69:J69" si="18">SUM(I46:I68)</f>
        <v>4296.7</v>
      </c>
      <c r="J69" s="139">
        <f t="shared" si="18"/>
        <v>2049.6999999999998</v>
      </c>
    </row>
    <row r="70" spans="2:10" x14ac:dyDescent="0.25">
      <c r="B70" s="108"/>
      <c r="C70" s="107"/>
      <c r="D70" s="108"/>
      <c r="E70" s="107"/>
      <c r="F70" s="107"/>
      <c r="G70" s="108"/>
      <c r="H70" s="107"/>
      <c r="I70" s="107"/>
      <c r="J70" s="107"/>
    </row>
    <row r="71" spans="2:10" ht="15.75" thickBot="1" x14ac:dyDescent="0.3">
      <c r="B71" s="117" t="s">
        <v>92</v>
      </c>
      <c r="C71" s="118" t="s">
        <v>3</v>
      </c>
      <c r="D71" s="118"/>
      <c r="E71" s="118" t="s">
        <v>34</v>
      </c>
      <c r="F71" s="118" t="s">
        <v>35</v>
      </c>
      <c r="G71" s="118"/>
      <c r="H71" s="118" t="s">
        <v>34</v>
      </c>
      <c r="I71" s="118" t="s">
        <v>35</v>
      </c>
      <c r="J71" s="118" t="s">
        <v>47</v>
      </c>
    </row>
    <row r="72" spans="2:10" ht="15.75" thickBot="1" x14ac:dyDescent="0.3">
      <c r="B72" s="108" t="s">
        <v>163</v>
      </c>
      <c r="C72" s="78">
        <v>1</v>
      </c>
      <c r="D72" s="119"/>
      <c r="E72" s="124">
        <v>9.58</v>
      </c>
      <c r="F72" s="138"/>
      <c r="G72" s="119"/>
      <c r="H72" s="120">
        <f>$C72*E72</f>
        <v>9.58</v>
      </c>
      <c r="I72" s="120">
        <f>$C72*F72</f>
        <v>0</v>
      </c>
      <c r="J72" s="120">
        <f>I72-H72</f>
        <v>-9.58</v>
      </c>
    </row>
    <row r="73" spans="2:10" ht="15.75" thickBot="1" x14ac:dyDescent="0.3">
      <c r="B73" s="108" t="s">
        <v>93</v>
      </c>
      <c r="C73" s="78">
        <v>0</v>
      </c>
      <c r="D73" s="119"/>
      <c r="E73" s="124">
        <v>7.54</v>
      </c>
      <c r="F73" s="124">
        <v>7.54</v>
      </c>
      <c r="G73" s="119"/>
      <c r="H73" s="120">
        <f t="shared" ref="H73" si="19">$C73*E73</f>
        <v>0</v>
      </c>
      <c r="I73" s="120">
        <f t="shared" ref="I73" si="20">$C73*F73</f>
        <v>0</v>
      </c>
      <c r="J73" s="120">
        <f>I73-H73</f>
        <v>0</v>
      </c>
    </row>
    <row r="74" spans="2:10" ht="15.75" thickBot="1" x14ac:dyDescent="0.3">
      <c r="B74" s="108" t="s">
        <v>164</v>
      </c>
      <c r="C74" s="78">
        <v>0</v>
      </c>
      <c r="D74" s="119"/>
      <c r="E74" s="124">
        <v>10</v>
      </c>
      <c r="F74" s="124">
        <v>10</v>
      </c>
      <c r="G74" s="119"/>
      <c r="H74" s="120">
        <f t="shared" ref="H74" si="21">$C74*E74</f>
        <v>0</v>
      </c>
      <c r="I74" s="120">
        <f t="shared" ref="I74" si="22">$C74*F74</f>
        <v>0</v>
      </c>
      <c r="J74" s="120">
        <f>I74-H74</f>
        <v>0</v>
      </c>
    </row>
    <row r="75" spans="2:10" ht="15.75" thickBot="1" x14ac:dyDescent="0.3">
      <c r="B75" s="108" t="s">
        <v>165</v>
      </c>
      <c r="C75" s="78">
        <v>0</v>
      </c>
      <c r="D75" s="119"/>
      <c r="E75" s="138"/>
      <c r="F75" s="124">
        <v>2.5</v>
      </c>
      <c r="G75" s="119"/>
      <c r="H75" s="120">
        <f t="shared" ref="H75" si="23">$C75*E75</f>
        <v>0</v>
      </c>
      <c r="I75" s="120">
        <f t="shared" ref="I75" si="24">$C75*F75</f>
        <v>0</v>
      </c>
      <c r="J75" s="120">
        <f>I75-H75</f>
        <v>0</v>
      </c>
    </row>
    <row r="76" spans="2:10" ht="15.75" thickBot="1" x14ac:dyDescent="0.3">
      <c r="B76" s="128" t="s">
        <v>95</v>
      </c>
      <c r="C76" s="107"/>
      <c r="D76" s="129"/>
      <c r="E76" s="107"/>
      <c r="F76" s="107"/>
      <c r="G76" s="119"/>
      <c r="H76" s="139">
        <f>SUM(H72:H75)</f>
        <v>9.58</v>
      </c>
      <c r="I76" s="139">
        <f t="shared" ref="I76:J76" si="25">SUM(I72:I75)</f>
        <v>0</v>
      </c>
      <c r="J76" s="139">
        <f t="shared" si="25"/>
        <v>-9.58</v>
      </c>
    </row>
    <row r="77" spans="2:10" x14ac:dyDescent="0.25">
      <c r="B77" s="128"/>
      <c r="C77" s="107"/>
      <c r="D77" s="129"/>
      <c r="E77" s="107"/>
      <c r="F77" s="107"/>
      <c r="G77" s="119"/>
      <c r="H77" s="159"/>
      <c r="I77" s="159"/>
      <c r="J77" s="159"/>
    </row>
    <row r="78" spans="2:10" ht="15.75" thickBot="1" x14ac:dyDescent="0.3">
      <c r="B78" s="117" t="s">
        <v>238</v>
      </c>
      <c r="C78" s="107"/>
      <c r="D78" s="108"/>
      <c r="E78" s="107"/>
      <c r="F78" s="107"/>
      <c r="G78" s="118"/>
      <c r="H78" s="118" t="s">
        <v>34</v>
      </c>
      <c r="I78" s="118" t="s">
        <v>35</v>
      </c>
      <c r="J78" s="118" t="s">
        <v>47</v>
      </c>
    </row>
    <row r="79" spans="2:10" ht="15.75" thickBot="1" x14ac:dyDescent="0.3">
      <c r="B79" s="108" t="s">
        <v>190</v>
      </c>
      <c r="C79" s="107"/>
      <c r="D79" s="108"/>
      <c r="E79" s="107"/>
      <c r="F79" s="107"/>
      <c r="G79" s="119"/>
      <c r="H79" s="154"/>
      <c r="I79" s="154"/>
      <c r="J79" s="120">
        <f t="shared" ref="J79:J80" si="26">I79-H79</f>
        <v>0</v>
      </c>
    </row>
    <row r="80" spans="2:10" ht="15.75" thickBot="1" x14ac:dyDescent="0.3">
      <c r="B80" s="108" t="s">
        <v>191</v>
      </c>
      <c r="C80" s="107"/>
      <c r="D80" s="108"/>
      <c r="E80" s="107"/>
      <c r="F80" s="107"/>
      <c r="G80" s="119"/>
      <c r="H80" s="154"/>
      <c r="I80" s="154"/>
      <c r="J80" s="120">
        <f t="shared" si="26"/>
        <v>0</v>
      </c>
    </row>
    <row r="81" spans="2:10" ht="15.75" thickBot="1" x14ac:dyDescent="0.3">
      <c r="B81" s="128" t="s">
        <v>192</v>
      </c>
      <c r="C81" s="107"/>
      <c r="D81" s="129"/>
      <c r="E81" s="107"/>
      <c r="F81" s="107"/>
      <c r="G81" s="119"/>
      <c r="H81" s="139">
        <f>SUM(H79:H80)</f>
        <v>0</v>
      </c>
      <c r="I81" s="139">
        <f>SUM(I79:I80)</f>
        <v>0</v>
      </c>
      <c r="J81" s="139">
        <f>SUM(J79:J80)</f>
        <v>0</v>
      </c>
    </row>
    <row r="82" spans="2:10" ht="15.75" thickBot="1" x14ac:dyDescent="0.3">
      <c r="B82" s="107"/>
      <c r="C82" s="107"/>
      <c r="D82" s="108"/>
      <c r="E82" s="107"/>
      <c r="F82" s="107"/>
      <c r="G82" s="108"/>
      <c r="H82" s="107"/>
      <c r="I82" s="107"/>
      <c r="J82" s="107"/>
    </row>
    <row r="83" spans="2:10" ht="15.75" thickBot="1" x14ac:dyDescent="0.3">
      <c r="B83" s="128" t="s">
        <v>96</v>
      </c>
      <c r="C83" s="130"/>
      <c r="D83" s="131"/>
      <c r="E83" s="109"/>
      <c r="F83" s="130"/>
      <c r="G83" s="131"/>
      <c r="H83" s="139">
        <f>H25+H39+H43+H69+H76+H81</f>
        <v>18834.365682525568</v>
      </c>
      <c r="I83" s="139">
        <f t="shared" ref="I83:J83" si="27">I25+I39+I43+I69+I76+I81</f>
        <v>22636.749627791563</v>
      </c>
      <c r="J83" s="139">
        <f t="shared" si="27"/>
        <v>3802.3839452659968</v>
      </c>
    </row>
    <row r="84" spans="2:10" x14ac:dyDescent="0.25">
      <c r="C84" s="105"/>
      <c r="D84" s="132"/>
      <c r="E84" s="132"/>
      <c r="F84" s="133"/>
      <c r="G84" s="132"/>
      <c r="H84" s="132"/>
      <c r="I84" s="132"/>
      <c r="J84" s="132"/>
    </row>
    <row r="85" spans="2:10" x14ac:dyDescent="0.25">
      <c r="B85" s="128" t="s">
        <v>225</v>
      </c>
    </row>
    <row r="86" spans="2:10" x14ac:dyDescent="0.25">
      <c r="B86" s="171" t="s">
        <v>242</v>
      </c>
    </row>
  </sheetData>
  <sheetProtection sheet="1" objects="1" scenarios="1"/>
  <mergeCells count="6">
    <mergeCell ref="E21:F21"/>
    <mergeCell ref="H21:J21"/>
    <mergeCell ref="H44:J44"/>
    <mergeCell ref="B19:J19"/>
    <mergeCell ref="B9:J9"/>
    <mergeCell ref="B10:J10"/>
  </mergeCells>
  <phoneticPr fontId="7" type="noConversion"/>
  <hyperlinks>
    <hyperlink ref="B86" r:id="rId1" xr:uid="{057879FC-3B73-433D-B37A-767EB7A5EEF4}"/>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630" yWindow="521" count="2">
        <x14:dataValidation type="list" allowBlank="1" showInputMessage="1" showErrorMessage="1" promptTitle="Select % Average Buying Profit" prompt="Estimate how well you perform compared to the average pharmacy._x000a_Select 100% if you perform in line with the average pharmacy_x000a_Select less than 100% if you perform worse than average_x000a_Select more the 100% if you perform better than average" xr:uid="{9D640DB6-C054-49E6-86BF-1A009FF765B6}">
          <x14:formula1>
            <xm:f>ProfitOptions!$B$3:$B$9</xm:f>
          </x14:formula1>
          <xm:sqref>C24</xm:sqref>
        </x14:dataValidation>
        <x14:dataValidation type="list" allowBlank="1" showInputMessage="1" showErrorMessage="1" promptTitle="% of target for full service " prompt="Select % of target for full service" xr:uid="{C97EA856-A6DE-48BE-A622-6711CA1D163B}">
          <x14:formula1>
            <xm:f>ProfitOptions!$E$3:$E$7</xm:f>
          </x14:formula1>
          <xm:sqref>C51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4868-E6C1-4869-BEBB-6E748D609E41}">
  <dimension ref="B5:J86"/>
  <sheetViews>
    <sheetView showGridLines="0" topLeftCell="A21" zoomScale="120" zoomScaleNormal="120" workbookViewId="0">
      <selection activeCell="A31" sqref="A31:XFD31"/>
    </sheetView>
  </sheetViews>
  <sheetFormatPr defaultRowHeight="15" x14ac:dyDescent="0.25"/>
  <cols>
    <col min="1" max="1" width="2.7109375" style="104" customWidth="1"/>
    <col min="2" max="2" width="126.7109375" style="104" customWidth="1"/>
    <col min="3" max="3" width="10.7109375" style="104" customWidth="1"/>
    <col min="4" max="4" width="2.7109375" style="105" customWidth="1"/>
    <col min="5" max="6" width="10.7109375" style="104" customWidth="1"/>
    <col min="7" max="7" width="2.7109375" style="105" customWidth="1"/>
    <col min="8" max="10" width="12.7109375" style="104" customWidth="1"/>
    <col min="11" max="11" width="9.140625" style="104"/>
    <col min="12" max="12" width="60.7109375" style="104" customWidth="1"/>
    <col min="13" max="13" width="9.140625" style="104"/>
    <col min="14" max="14" width="2.7109375" style="104" customWidth="1"/>
    <col min="15" max="16" width="9.140625" style="104"/>
    <col min="17" max="17" width="2.7109375" style="104" customWidth="1"/>
    <col min="18" max="16384" width="9.140625" style="104"/>
  </cols>
  <sheetData>
    <row r="5" spans="2:10" ht="20.25" x14ac:dyDescent="0.3">
      <c r="B5" s="106" t="s">
        <v>139</v>
      </c>
      <c r="C5" s="107"/>
      <c r="D5" s="108"/>
      <c r="E5" s="107"/>
      <c r="F5" s="107"/>
      <c r="G5" s="108"/>
      <c r="H5" s="107"/>
      <c r="I5" s="107"/>
      <c r="J5" s="107"/>
    </row>
    <row r="6" spans="2:10" x14ac:dyDescent="0.25">
      <c r="B6" s="107"/>
      <c r="C6" s="107"/>
      <c r="D6" s="108"/>
      <c r="E6" s="107"/>
      <c r="F6" s="107"/>
      <c r="G6" s="108"/>
      <c r="H6" s="107"/>
      <c r="I6" s="107"/>
      <c r="J6" s="107"/>
    </row>
    <row r="7" spans="2:10" x14ac:dyDescent="0.25">
      <c r="B7" s="167" t="s">
        <v>197</v>
      </c>
      <c r="C7" s="107"/>
      <c r="D7" s="108"/>
      <c r="E7" s="107"/>
      <c r="F7" s="107"/>
      <c r="G7" s="108"/>
      <c r="H7" s="107"/>
      <c r="I7" s="107"/>
      <c r="J7" s="107"/>
    </row>
    <row r="8" spans="2:10" x14ac:dyDescent="0.25">
      <c r="B8" s="168" t="s">
        <v>207</v>
      </c>
      <c r="C8" s="107"/>
      <c r="D8" s="108"/>
      <c r="E8" s="107"/>
      <c r="F8" s="107"/>
      <c r="G8" s="108"/>
      <c r="H8" s="107"/>
      <c r="I8" s="107"/>
      <c r="J8" s="107"/>
    </row>
    <row r="9" spans="2:10" ht="30" customHeight="1" x14ac:dyDescent="0.25">
      <c r="B9" s="214" t="s">
        <v>198</v>
      </c>
      <c r="C9" s="214"/>
      <c r="D9" s="214"/>
      <c r="E9" s="214"/>
      <c r="F9" s="214"/>
      <c r="G9" s="214"/>
      <c r="H9" s="214"/>
      <c r="I9" s="214"/>
      <c r="J9" s="214"/>
    </row>
    <row r="10" spans="2:10" x14ac:dyDescent="0.25">
      <c r="B10" s="168" t="s">
        <v>206</v>
      </c>
      <c r="C10" s="107"/>
      <c r="D10" s="108"/>
      <c r="E10" s="107"/>
      <c r="F10" s="107"/>
      <c r="G10" s="108"/>
      <c r="H10" s="107"/>
      <c r="I10" s="107"/>
      <c r="J10" s="107"/>
    </row>
    <row r="11" spans="2:10" x14ac:dyDescent="0.25">
      <c r="B11" s="107" t="s">
        <v>205</v>
      </c>
      <c r="C11" s="107"/>
      <c r="D11" s="108"/>
      <c r="E11" s="107"/>
      <c r="F11" s="107"/>
      <c r="G11" s="108"/>
      <c r="H11" s="107"/>
      <c r="I11" s="107"/>
      <c r="J11" s="107"/>
    </row>
    <row r="12" spans="2:10" x14ac:dyDescent="0.25">
      <c r="B12" s="169" t="s">
        <v>204</v>
      </c>
      <c r="C12" s="107"/>
      <c r="D12" s="108"/>
      <c r="E12" s="107"/>
      <c r="F12" s="107"/>
      <c r="G12" s="108"/>
      <c r="H12" s="107"/>
      <c r="I12" s="107"/>
      <c r="J12" s="107"/>
    </row>
    <row r="13" spans="2:10" x14ac:dyDescent="0.25">
      <c r="B13" s="107"/>
      <c r="C13" s="107"/>
      <c r="D13" s="108"/>
      <c r="E13" s="107"/>
      <c r="F13" s="107"/>
      <c r="G13" s="108"/>
      <c r="H13" s="107"/>
      <c r="I13" s="107"/>
      <c r="J13" s="107"/>
    </row>
    <row r="14" spans="2:10" x14ac:dyDescent="0.25">
      <c r="B14" s="109" t="s">
        <v>135</v>
      </c>
      <c r="C14" s="107"/>
      <c r="D14" s="108"/>
      <c r="E14" s="107"/>
      <c r="F14" s="107"/>
      <c r="G14" s="108"/>
      <c r="H14" s="107"/>
      <c r="I14" s="107"/>
      <c r="J14" s="107"/>
    </row>
    <row r="15" spans="2:10" x14ac:dyDescent="0.25">
      <c r="B15" s="110" t="s">
        <v>153</v>
      </c>
      <c r="C15" s="110"/>
      <c r="D15" s="110"/>
      <c r="E15" s="110"/>
      <c r="F15" s="110"/>
      <c r="G15" s="110"/>
      <c r="H15" s="110"/>
      <c r="I15" s="110"/>
      <c r="J15" s="110"/>
    </row>
    <row r="16" spans="2:10" x14ac:dyDescent="0.25">
      <c r="B16" s="111" t="s">
        <v>154</v>
      </c>
      <c r="C16" s="111"/>
      <c r="D16" s="111"/>
      <c r="E16" s="111"/>
      <c r="F16" s="111"/>
      <c r="G16" s="111"/>
      <c r="H16" s="111"/>
      <c r="I16" s="111"/>
      <c r="J16" s="111"/>
    </row>
    <row r="17" spans="2:10" s="112" customFormat="1" x14ac:dyDescent="0.25">
      <c r="B17" s="113"/>
      <c r="C17" s="113"/>
      <c r="D17" s="113"/>
      <c r="E17" s="113"/>
      <c r="F17" s="113"/>
      <c r="G17" s="113"/>
      <c r="H17" s="113"/>
      <c r="I17" s="113"/>
      <c r="J17" s="113"/>
    </row>
    <row r="18" spans="2:10" s="112" customFormat="1" x14ac:dyDescent="0.25">
      <c r="B18" s="114" t="s">
        <v>136</v>
      </c>
      <c r="C18" s="113"/>
      <c r="D18" s="113"/>
      <c r="E18" s="113"/>
      <c r="F18" s="113"/>
      <c r="G18" s="113"/>
      <c r="H18" s="113"/>
      <c r="I18" s="113"/>
      <c r="J18" s="113"/>
    </row>
    <row r="19" spans="2:10" x14ac:dyDescent="0.25">
      <c r="B19" s="115" t="s">
        <v>137</v>
      </c>
      <c r="C19" s="115"/>
      <c r="D19" s="115"/>
      <c r="E19" s="115"/>
      <c r="F19" s="115"/>
      <c r="G19" s="115"/>
      <c r="H19" s="115"/>
      <c r="I19" s="115"/>
      <c r="J19" s="115"/>
    </row>
    <row r="20" spans="2:10" ht="30.75" customHeight="1" x14ac:dyDescent="0.25">
      <c r="B20" s="211" t="s">
        <v>138</v>
      </c>
      <c r="C20" s="211"/>
      <c r="D20" s="211"/>
      <c r="E20" s="211"/>
      <c r="F20" s="211"/>
      <c r="G20" s="211"/>
      <c r="H20" s="211"/>
      <c r="I20" s="211"/>
      <c r="J20" s="211"/>
    </row>
    <row r="21" spans="2:10" x14ac:dyDescent="0.25">
      <c r="B21" s="107"/>
      <c r="C21" s="107"/>
      <c r="D21" s="108"/>
      <c r="E21" s="107"/>
      <c r="F21" s="107"/>
      <c r="G21" s="108"/>
      <c r="H21" s="107"/>
      <c r="I21" s="107"/>
      <c r="J21" s="107"/>
    </row>
    <row r="22" spans="2:10" x14ac:dyDescent="0.25">
      <c r="B22" s="113"/>
      <c r="C22" s="116"/>
      <c r="D22" s="116"/>
      <c r="E22" s="210" t="s">
        <v>36</v>
      </c>
      <c r="F22" s="210"/>
      <c r="G22" s="116"/>
      <c r="H22" s="210" t="s">
        <v>37</v>
      </c>
      <c r="I22" s="210"/>
      <c r="J22" s="210"/>
    </row>
    <row r="23" spans="2:10" ht="15.75" thickBot="1" x14ac:dyDescent="0.3">
      <c r="B23" s="117" t="s">
        <v>81</v>
      </c>
      <c r="C23" s="118" t="s">
        <v>3</v>
      </c>
      <c r="D23" s="118"/>
      <c r="E23" s="118" t="s">
        <v>34</v>
      </c>
      <c r="F23" s="118" t="s">
        <v>35</v>
      </c>
      <c r="G23" s="118"/>
      <c r="H23" s="118" t="s">
        <v>34</v>
      </c>
      <c r="I23" s="118" t="s">
        <v>35</v>
      </c>
      <c r="J23" s="118" t="s">
        <v>107</v>
      </c>
    </row>
    <row r="24" spans="2:10" ht="15.75" thickBot="1" x14ac:dyDescent="0.3">
      <c r="B24" s="108" t="s">
        <v>183</v>
      </c>
      <c r="C24" s="78">
        <v>8000</v>
      </c>
      <c r="D24" s="119"/>
      <c r="E24" s="120">
        <v>1.27</v>
      </c>
      <c r="F24" s="120">
        <v>1.46</v>
      </c>
      <c r="G24" s="119"/>
      <c r="H24" s="120">
        <f t="shared" ref="H24:I25" si="0">$C24*E24</f>
        <v>10160</v>
      </c>
      <c r="I24" s="120">
        <f t="shared" si="0"/>
        <v>11680</v>
      </c>
      <c r="J24" s="120">
        <f t="shared" ref="J24:J42" si="1">I24-H24</f>
        <v>1520</v>
      </c>
    </row>
    <row r="25" spans="2:10" ht="15.75" thickBot="1" x14ac:dyDescent="0.3">
      <c r="B25" s="108" t="s">
        <v>227</v>
      </c>
      <c r="C25" s="78">
        <v>8000</v>
      </c>
      <c r="D25" s="119"/>
      <c r="E25" s="121">
        <f>102.1/1124.5</f>
        <v>9.0795909293019117E-2</v>
      </c>
      <c r="F25" s="120">
        <f>106.5/1209</f>
        <v>8.8089330024813894E-2</v>
      </c>
      <c r="G25" s="119"/>
      <c r="H25" s="120">
        <f t="shared" si="0"/>
        <v>726.36727434415297</v>
      </c>
      <c r="I25" s="120">
        <f t="shared" si="0"/>
        <v>704.71464019851112</v>
      </c>
      <c r="J25" s="120">
        <f t="shared" si="1"/>
        <v>-21.652634145641855</v>
      </c>
    </row>
    <row r="26" spans="2:10" ht="15.75" thickBot="1" x14ac:dyDescent="0.3">
      <c r="B26" s="108" t="s">
        <v>228</v>
      </c>
      <c r="C26" s="87">
        <v>1</v>
      </c>
      <c r="D26" s="119"/>
      <c r="E26" s="121">
        <f>$C26*800/1124.5</f>
        <v>0.71142730102267671</v>
      </c>
      <c r="F26" s="120">
        <f>$C26*900/1209</f>
        <v>0.74441687344913154</v>
      </c>
      <c r="G26" s="119"/>
      <c r="H26" s="120">
        <f>$C$24*E26</f>
        <v>5691.4184081814137</v>
      </c>
      <c r="I26" s="120">
        <f>$C$24*F26</f>
        <v>5955.3349875930526</v>
      </c>
      <c r="J26" s="120">
        <f t="shared" si="1"/>
        <v>263.91657941163885</v>
      </c>
    </row>
    <row r="27" spans="2:10" ht="15.75" thickBot="1" x14ac:dyDescent="0.3">
      <c r="B27" s="128" t="s">
        <v>94</v>
      </c>
      <c r="C27" s="108"/>
      <c r="D27" s="108"/>
      <c r="E27" s="108"/>
      <c r="F27" s="108"/>
      <c r="G27" s="108"/>
      <c r="H27" s="139">
        <f>SUM(H24:H26)</f>
        <v>16577.785682525566</v>
      </c>
      <c r="I27" s="139">
        <f t="shared" ref="I27:J27" si="2">SUM(I24:I26)</f>
        <v>18340.049627791566</v>
      </c>
      <c r="J27" s="139">
        <f t="shared" si="2"/>
        <v>1762.2639452659969</v>
      </c>
    </row>
    <row r="28" spans="2:10" x14ac:dyDescent="0.25">
      <c r="B28" s="108"/>
      <c r="C28" s="108"/>
      <c r="D28" s="108"/>
      <c r="E28" s="108"/>
      <c r="F28" s="108"/>
      <c r="G28" s="108"/>
      <c r="H28" s="108"/>
      <c r="I28" s="108"/>
      <c r="J28" s="108"/>
    </row>
    <row r="29" spans="2:10" ht="15.75" thickBot="1" x14ac:dyDescent="0.3">
      <c r="B29" s="130" t="s">
        <v>210</v>
      </c>
      <c r="C29" s="118"/>
      <c r="D29" s="118"/>
      <c r="E29" s="118"/>
      <c r="F29" s="118"/>
      <c r="G29" s="118"/>
      <c r="H29" s="118" t="s">
        <v>34</v>
      </c>
      <c r="I29" s="118" t="s">
        <v>35</v>
      </c>
      <c r="J29" s="118" t="s">
        <v>107</v>
      </c>
    </row>
    <row r="30" spans="2:10" ht="15.75" thickBot="1" x14ac:dyDescent="0.3">
      <c r="B30" s="170" t="s">
        <v>211</v>
      </c>
      <c r="C30" s="161"/>
      <c r="D30" s="129"/>
      <c r="E30" s="160"/>
      <c r="F30" s="160"/>
      <c r="G30" s="119"/>
      <c r="H30" s="154">
        <v>0</v>
      </c>
      <c r="I30" s="154">
        <v>0</v>
      </c>
      <c r="J30" s="120">
        <f t="shared" si="1"/>
        <v>0</v>
      </c>
    </row>
    <row r="31" spans="2:10" ht="15.75" thickBot="1" x14ac:dyDescent="0.3">
      <c r="B31" s="123" t="s">
        <v>212</v>
      </c>
      <c r="C31" s="161"/>
      <c r="D31" s="129"/>
      <c r="E31" s="160"/>
      <c r="F31" s="160"/>
      <c r="G31" s="119"/>
      <c r="H31" s="154">
        <v>0</v>
      </c>
      <c r="I31" s="154">
        <v>0</v>
      </c>
      <c r="J31" s="120">
        <f t="shared" si="1"/>
        <v>0</v>
      </c>
    </row>
    <row r="32" spans="2:10" ht="15.75" thickBot="1" x14ac:dyDescent="0.3">
      <c r="B32" s="123" t="s">
        <v>213</v>
      </c>
      <c r="C32" s="161"/>
      <c r="D32" s="129"/>
      <c r="E32" s="160"/>
      <c r="F32" s="160"/>
      <c r="G32" s="119"/>
      <c r="H32" s="154">
        <v>0</v>
      </c>
      <c r="I32" s="154">
        <v>0</v>
      </c>
      <c r="J32" s="120">
        <f t="shared" si="1"/>
        <v>0</v>
      </c>
    </row>
    <row r="33" spans="2:10" ht="15.75" thickBot="1" x14ac:dyDescent="0.3">
      <c r="B33" s="122" t="s">
        <v>214</v>
      </c>
      <c r="C33" s="161"/>
      <c r="D33" s="129"/>
      <c r="E33" s="160"/>
      <c r="F33" s="160"/>
      <c r="G33" s="119"/>
      <c r="H33" s="154">
        <v>0</v>
      </c>
      <c r="I33" s="154">
        <v>0</v>
      </c>
      <c r="J33" s="120">
        <f t="shared" si="1"/>
        <v>0</v>
      </c>
    </row>
    <row r="34" spans="2:10" ht="15.75" thickBot="1" x14ac:dyDescent="0.3">
      <c r="B34" s="170" t="s">
        <v>215</v>
      </c>
      <c r="C34" s="161"/>
      <c r="D34" s="129"/>
      <c r="E34" s="160"/>
      <c r="F34" s="160"/>
      <c r="G34" s="119"/>
      <c r="H34" s="154">
        <v>0</v>
      </c>
      <c r="I34" s="154">
        <v>0</v>
      </c>
      <c r="J34" s="120">
        <f t="shared" si="1"/>
        <v>0</v>
      </c>
    </row>
    <row r="35" spans="2:10" s="125" customFormat="1" ht="15.75" thickBot="1" x14ac:dyDescent="0.3">
      <c r="B35" s="122" t="s">
        <v>216</v>
      </c>
      <c r="C35" s="165"/>
      <c r="D35" s="164"/>
      <c r="E35" s="166"/>
      <c r="F35" s="166"/>
      <c r="G35" s="126"/>
      <c r="H35" s="154">
        <v>0</v>
      </c>
      <c r="I35" s="154">
        <v>0</v>
      </c>
      <c r="J35" s="140">
        <f t="shared" si="1"/>
        <v>0</v>
      </c>
    </row>
    <row r="36" spans="2:10" ht="15.75" thickBot="1" x14ac:dyDescent="0.3">
      <c r="B36" s="122" t="s">
        <v>217</v>
      </c>
      <c r="C36" s="161"/>
      <c r="D36" s="129"/>
      <c r="E36" s="160"/>
      <c r="F36" s="160"/>
      <c r="G36" s="119"/>
      <c r="H36" s="154">
        <v>0</v>
      </c>
      <c r="I36" s="154">
        <v>0</v>
      </c>
      <c r="J36" s="120">
        <f t="shared" si="1"/>
        <v>0</v>
      </c>
    </row>
    <row r="37" spans="2:10" ht="15.75" thickBot="1" x14ac:dyDescent="0.3">
      <c r="B37" s="122" t="s">
        <v>223</v>
      </c>
      <c r="C37" s="161"/>
      <c r="D37" s="129"/>
      <c r="E37" s="160"/>
      <c r="F37" s="160"/>
      <c r="G37" s="119"/>
      <c r="H37" s="154">
        <v>0</v>
      </c>
      <c r="I37" s="154">
        <v>0</v>
      </c>
      <c r="J37" s="120">
        <f t="shared" si="1"/>
        <v>0</v>
      </c>
    </row>
    <row r="38" spans="2:10" ht="15.75" thickBot="1" x14ac:dyDescent="0.3">
      <c r="B38" s="122" t="s">
        <v>218</v>
      </c>
      <c r="C38" s="161"/>
      <c r="D38" s="129"/>
      <c r="E38" s="160"/>
      <c r="F38" s="160"/>
      <c r="G38" s="119"/>
      <c r="H38" s="154">
        <v>0</v>
      </c>
      <c r="I38" s="154">
        <v>0</v>
      </c>
      <c r="J38" s="120">
        <f t="shared" si="1"/>
        <v>0</v>
      </c>
    </row>
    <row r="39" spans="2:10" ht="15.75" thickBot="1" x14ac:dyDescent="0.3">
      <c r="B39" s="122" t="s">
        <v>219</v>
      </c>
      <c r="C39" s="161"/>
      <c r="D39" s="129"/>
      <c r="E39" s="160"/>
      <c r="F39" s="160"/>
      <c r="G39" s="119"/>
      <c r="H39" s="154">
        <v>0</v>
      </c>
      <c r="I39" s="154">
        <v>0</v>
      </c>
      <c r="J39" s="120">
        <f t="shared" si="1"/>
        <v>0</v>
      </c>
    </row>
    <row r="40" spans="2:10" ht="15.75" thickBot="1" x14ac:dyDescent="0.3">
      <c r="B40" s="122" t="s">
        <v>220</v>
      </c>
      <c r="C40" s="161"/>
      <c r="D40" s="129"/>
      <c r="E40" s="160"/>
      <c r="F40" s="160"/>
      <c r="G40" s="119"/>
      <c r="H40" s="154">
        <v>0</v>
      </c>
      <c r="I40" s="154">
        <v>0</v>
      </c>
      <c r="J40" s="120">
        <f t="shared" si="1"/>
        <v>0</v>
      </c>
    </row>
    <row r="41" spans="2:10" ht="15.75" thickBot="1" x14ac:dyDescent="0.3">
      <c r="B41" s="122" t="s">
        <v>221</v>
      </c>
      <c r="C41" s="161"/>
      <c r="D41" s="129"/>
      <c r="E41" s="160"/>
      <c r="F41" s="160"/>
      <c r="G41" s="119"/>
      <c r="H41" s="154">
        <v>0</v>
      </c>
      <c r="I41" s="154">
        <v>0</v>
      </c>
      <c r="J41" s="120">
        <f t="shared" ref="J41" si="3">I41-H41</f>
        <v>0</v>
      </c>
    </row>
    <row r="42" spans="2:10" ht="15.75" thickBot="1" x14ac:dyDescent="0.3">
      <c r="B42" s="122" t="s">
        <v>222</v>
      </c>
      <c r="C42" s="161"/>
      <c r="D42" s="129"/>
      <c r="E42" s="160"/>
      <c r="F42" s="160"/>
      <c r="G42" s="119"/>
      <c r="H42" s="154">
        <v>0</v>
      </c>
      <c r="I42" s="154">
        <v>0</v>
      </c>
      <c r="J42" s="120">
        <f t="shared" si="1"/>
        <v>0</v>
      </c>
    </row>
    <row r="43" spans="2:10" ht="15.75" thickBot="1" x14ac:dyDescent="0.3">
      <c r="B43" s="128" t="s">
        <v>166</v>
      </c>
      <c r="C43" s="116"/>
      <c r="D43" s="129"/>
      <c r="E43" s="116"/>
      <c r="F43" s="116"/>
      <c r="G43" s="119"/>
      <c r="H43" s="139">
        <f>SUM(H30:H40)</f>
        <v>0</v>
      </c>
      <c r="I43" s="139">
        <f t="shared" ref="I43:J43" si="4">SUM(I30:I40)</f>
        <v>0</v>
      </c>
      <c r="J43" s="139">
        <f t="shared" si="4"/>
        <v>0</v>
      </c>
    </row>
    <row r="44" spans="2:10" s="105" customFormat="1" x14ac:dyDescent="0.25">
      <c r="B44" s="108"/>
      <c r="C44" s="108"/>
      <c r="D44" s="108"/>
      <c r="E44" s="108"/>
      <c r="F44" s="108"/>
      <c r="G44" s="116"/>
      <c r="H44" s="210"/>
      <c r="I44" s="210"/>
      <c r="J44" s="210"/>
    </row>
    <row r="45" spans="2:10" ht="15.75" thickBot="1" x14ac:dyDescent="0.3">
      <c r="B45" s="117" t="s">
        <v>128</v>
      </c>
      <c r="C45" s="118" t="s">
        <v>3</v>
      </c>
      <c r="D45" s="118"/>
      <c r="E45" s="118" t="s">
        <v>34</v>
      </c>
      <c r="F45" s="118" t="s">
        <v>35</v>
      </c>
      <c r="G45" s="118"/>
      <c r="H45" s="118" t="s">
        <v>34</v>
      </c>
      <c r="I45" s="118" t="s">
        <v>35</v>
      </c>
      <c r="J45" s="118" t="s">
        <v>47</v>
      </c>
    </row>
    <row r="46" spans="2:10" ht="15.75" thickBot="1" x14ac:dyDescent="0.3">
      <c r="B46" s="108" t="s">
        <v>178</v>
      </c>
      <c r="C46" s="78">
        <v>1</v>
      </c>
      <c r="D46" s="119"/>
      <c r="E46" s="124">
        <v>35</v>
      </c>
      <c r="F46" s="120">
        <v>35</v>
      </c>
      <c r="G46" s="119"/>
      <c r="H46" s="120">
        <f>$C46*E46</f>
        <v>35</v>
      </c>
      <c r="I46" s="120">
        <f>$C46*F46</f>
        <v>35</v>
      </c>
      <c r="J46" s="120">
        <f>I46-H46</f>
        <v>0</v>
      </c>
    </row>
    <row r="47" spans="2:10" ht="15.75" thickBot="1" x14ac:dyDescent="0.3">
      <c r="B47" s="108" t="s">
        <v>179</v>
      </c>
      <c r="C47" s="78">
        <v>0</v>
      </c>
      <c r="D47" s="119"/>
      <c r="E47" s="124">
        <v>12</v>
      </c>
      <c r="F47" s="124">
        <v>12</v>
      </c>
      <c r="G47" s="119"/>
      <c r="H47" s="120">
        <f t="shared" ref="H47:I60" si="5">$C47*E47</f>
        <v>0</v>
      </c>
      <c r="I47" s="120">
        <f t="shared" si="5"/>
        <v>0</v>
      </c>
      <c r="J47" s="120">
        <f>I47-H47</f>
        <v>0</v>
      </c>
    </row>
    <row r="48" spans="2:10" ht="15.75" thickBot="1" x14ac:dyDescent="0.3">
      <c r="B48" s="108" t="s">
        <v>180</v>
      </c>
      <c r="C48" s="78">
        <v>0</v>
      </c>
      <c r="D48" s="119"/>
      <c r="E48" s="124">
        <v>11</v>
      </c>
      <c r="F48" s="124">
        <v>11</v>
      </c>
      <c r="G48" s="119"/>
      <c r="H48" s="120">
        <f t="shared" si="5"/>
        <v>0</v>
      </c>
      <c r="I48" s="120">
        <f t="shared" si="5"/>
        <v>0</v>
      </c>
      <c r="J48" s="120">
        <f>I48-H48</f>
        <v>0</v>
      </c>
    </row>
    <row r="49" spans="2:10" ht="15.75" thickBot="1" x14ac:dyDescent="0.3">
      <c r="B49" s="108" t="s">
        <v>181</v>
      </c>
      <c r="C49" s="78">
        <v>0</v>
      </c>
      <c r="D49" s="119"/>
      <c r="E49" s="120">
        <v>12</v>
      </c>
      <c r="F49" s="120">
        <v>12</v>
      </c>
      <c r="G49" s="119"/>
      <c r="H49" s="120">
        <f t="shared" si="5"/>
        <v>0</v>
      </c>
      <c r="I49" s="120">
        <f t="shared" si="5"/>
        <v>0</v>
      </c>
      <c r="J49" s="120">
        <f>I49-H49</f>
        <v>0</v>
      </c>
    </row>
    <row r="50" spans="2:10" ht="15.75" thickBot="1" x14ac:dyDescent="0.3">
      <c r="B50" s="108" t="s">
        <v>175</v>
      </c>
      <c r="C50" s="78">
        <v>0</v>
      </c>
      <c r="D50" s="119"/>
      <c r="E50" s="138"/>
      <c r="F50" s="138"/>
      <c r="G50" s="119"/>
      <c r="H50" s="138"/>
      <c r="I50" s="138"/>
      <c r="J50" s="138"/>
    </row>
    <row r="51" spans="2:10" ht="15.75" thickBot="1" x14ac:dyDescent="0.3">
      <c r="B51" s="108" t="s">
        <v>182</v>
      </c>
      <c r="C51" s="61" t="s">
        <v>145</v>
      </c>
      <c r="D51" s="119"/>
      <c r="E51" s="120">
        <f>VLOOKUP(C51,ProfitOptions!E:F,2,FALSE)</f>
        <v>20</v>
      </c>
      <c r="F51" s="138"/>
      <c r="G51" s="119"/>
      <c r="H51" s="120">
        <f>C50*E51</f>
        <v>0</v>
      </c>
      <c r="I51" s="138"/>
      <c r="J51" s="120">
        <f t="shared" ref="J51:J68" si="6">I51-H51</f>
        <v>0</v>
      </c>
    </row>
    <row r="52" spans="2:10" ht="15.75" thickBot="1" x14ac:dyDescent="0.3">
      <c r="B52" s="108" t="s">
        <v>176</v>
      </c>
      <c r="C52" s="78">
        <v>80</v>
      </c>
      <c r="D52" s="119"/>
      <c r="E52" s="138"/>
      <c r="F52" s="120">
        <v>14</v>
      </c>
      <c r="G52" s="119"/>
      <c r="H52" s="138"/>
      <c r="I52" s="120">
        <f t="shared" si="5"/>
        <v>1120</v>
      </c>
      <c r="J52" s="120">
        <f t="shared" si="6"/>
        <v>1120</v>
      </c>
    </row>
    <row r="53" spans="2:10" ht="15.75" thickBot="1" x14ac:dyDescent="0.3">
      <c r="B53" s="108" t="s">
        <v>177</v>
      </c>
      <c r="C53" s="78">
        <v>65</v>
      </c>
      <c r="D53" s="119"/>
      <c r="E53" s="138"/>
      <c r="F53" s="120">
        <v>14</v>
      </c>
      <c r="G53" s="119"/>
      <c r="H53" s="138"/>
      <c r="I53" s="120">
        <f t="shared" si="5"/>
        <v>910</v>
      </c>
      <c r="J53" s="120">
        <f t="shared" si="6"/>
        <v>910</v>
      </c>
    </row>
    <row r="54" spans="2:10" ht="15.75" thickBot="1" x14ac:dyDescent="0.3">
      <c r="B54" s="108" t="s">
        <v>173</v>
      </c>
      <c r="C54" s="78">
        <v>20</v>
      </c>
      <c r="D54" s="119"/>
      <c r="E54" s="120">
        <v>15</v>
      </c>
      <c r="F54" s="120">
        <v>10</v>
      </c>
      <c r="G54" s="119"/>
      <c r="H54" s="120">
        <f t="shared" si="5"/>
        <v>300</v>
      </c>
      <c r="I54" s="120">
        <f t="shared" si="5"/>
        <v>200</v>
      </c>
      <c r="J54" s="120">
        <f t="shared" si="6"/>
        <v>-100</v>
      </c>
    </row>
    <row r="55" spans="2:10" ht="15.75" thickBot="1" x14ac:dyDescent="0.3">
      <c r="B55" s="108" t="s">
        <v>174</v>
      </c>
      <c r="C55" s="78">
        <v>2</v>
      </c>
      <c r="D55" s="119"/>
      <c r="E55" s="124">
        <v>45</v>
      </c>
      <c r="F55" s="120">
        <v>50.85</v>
      </c>
      <c r="G55" s="119"/>
      <c r="H55" s="120">
        <f t="shared" si="5"/>
        <v>90</v>
      </c>
      <c r="I55" s="120">
        <f t="shared" si="5"/>
        <v>101.7</v>
      </c>
      <c r="J55" s="120">
        <f t="shared" si="6"/>
        <v>11.700000000000003</v>
      </c>
    </row>
    <row r="56" spans="2:10" ht="15.75" thickBot="1" x14ac:dyDescent="0.3">
      <c r="B56" s="108" t="s">
        <v>187</v>
      </c>
      <c r="C56" s="78">
        <v>3</v>
      </c>
      <c r="D56" s="119"/>
      <c r="E56" s="124">
        <v>18</v>
      </c>
      <c r="F56" s="120">
        <v>25</v>
      </c>
      <c r="G56" s="119"/>
      <c r="H56" s="120">
        <f t="shared" si="5"/>
        <v>54</v>
      </c>
      <c r="I56" s="120">
        <f t="shared" si="5"/>
        <v>75</v>
      </c>
      <c r="J56" s="120">
        <f t="shared" si="6"/>
        <v>21</v>
      </c>
    </row>
    <row r="57" spans="2:10" ht="15.75" thickBot="1" x14ac:dyDescent="0.3">
      <c r="B57" s="108" t="s">
        <v>188</v>
      </c>
      <c r="C57" s="78">
        <v>1</v>
      </c>
      <c r="D57" s="119"/>
      <c r="E57" s="124">
        <v>18</v>
      </c>
      <c r="F57" s="120">
        <v>25</v>
      </c>
      <c r="G57" s="119"/>
      <c r="H57" s="120">
        <f t="shared" si="5"/>
        <v>18</v>
      </c>
      <c r="I57" s="120">
        <f t="shared" si="5"/>
        <v>25</v>
      </c>
      <c r="J57" s="120">
        <f t="shared" si="6"/>
        <v>7</v>
      </c>
    </row>
    <row r="58" spans="2:10" ht="15.75" thickBot="1" x14ac:dyDescent="0.3">
      <c r="B58" s="108" t="s">
        <v>185</v>
      </c>
      <c r="C58" s="78">
        <v>10</v>
      </c>
      <c r="D58" s="119"/>
      <c r="E58" s="120">
        <v>15</v>
      </c>
      <c r="F58" s="120">
        <v>15</v>
      </c>
      <c r="G58" s="119"/>
      <c r="H58" s="120">
        <f t="shared" si="5"/>
        <v>150</v>
      </c>
      <c r="I58" s="120">
        <f t="shared" si="5"/>
        <v>150</v>
      </c>
      <c r="J58" s="120">
        <f t="shared" si="6"/>
        <v>0</v>
      </c>
    </row>
    <row r="59" spans="2:10" ht="15.75" thickBot="1" x14ac:dyDescent="0.3">
      <c r="B59" s="108" t="s">
        <v>186</v>
      </c>
      <c r="C59" s="78">
        <v>10</v>
      </c>
      <c r="D59" s="119"/>
      <c r="E59" s="124">
        <v>15</v>
      </c>
      <c r="F59" s="120">
        <v>17</v>
      </c>
      <c r="G59" s="119"/>
      <c r="H59" s="120">
        <f t="shared" si="5"/>
        <v>150</v>
      </c>
      <c r="I59" s="120">
        <f t="shared" si="5"/>
        <v>170</v>
      </c>
      <c r="J59" s="120">
        <f t="shared" si="6"/>
        <v>20</v>
      </c>
    </row>
    <row r="60" spans="2:10" ht="15.75" thickBot="1" x14ac:dyDescent="0.3">
      <c r="B60" s="108" t="s">
        <v>184</v>
      </c>
      <c r="C60" s="78">
        <v>30</v>
      </c>
      <c r="D60" s="119"/>
      <c r="E60" s="124">
        <v>15</v>
      </c>
      <c r="F60" s="120">
        <v>17</v>
      </c>
      <c r="G60" s="119"/>
      <c r="H60" s="120">
        <f t="shared" si="5"/>
        <v>450</v>
      </c>
      <c r="I60" s="120">
        <f t="shared" si="5"/>
        <v>510</v>
      </c>
      <c r="J60" s="120">
        <f t="shared" si="6"/>
        <v>60</v>
      </c>
    </row>
    <row r="61" spans="2:10" ht="15.75" thickBot="1" x14ac:dyDescent="0.3">
      <c r="B61" s="108" t="s">
        <v>18</v>
      </c>
      <c r="C61" s="138"/>
      <c r="D61" s="119"/>
      <c r="E61" s="138"/>
      <c r="F61" s="138"/>
      <c r="G61" s="119"/>
      <c r="H61" s="120">
        <f>IF($C60&gt;=30,1000,IF($C60&gt;=20,0,0))</f>
        <v>1000</v>
      </c>
      <c r="I61" s="120">
        <f>IF($C60&gt;=30,1000,IF($C60&gt;=20,0,0))</f>
        <v>1000</v>
      </c>
      <c r="J61" s="120">
        <f t="shared" si="6"/>
        <v>0</v>
      </c>
    </row>
    <row r="62" spans="2:10" ht="15.75" thickBot="1" x14ac:dyDescent="0.3">
      <c r="B62" s="108" t="s">
        <v>172</v>
      </c>
      <c r="C62" s="78">
        <v>0</v>
      </c>
      <c r="D62" s="119"/>
      <c r="E62" s="124">
        <v>28</v>
      </c>
      <c r="F62" s="120">
        <v>28</v>
      </c>
      <c r="G62" s="119"/>
      <c r="H62" s="120">
        <f t="shared" ref="H62:I68" si="7">$C62*E62</f>
        <v>0</v>
      </c>
      <c r="I62" s="120">
        <f t="shared" si="7"/>
        <v>0</v>
      </c>
      <c r="J62" s="120">
        <f t="shared" si="6"/>
        <v>0</v>
      </c>
    </row>
    <row r="63" spans="2:10" ht="15.75" thickBot="1" x14ac:dyDescent="0.3">
      <c r="B63" s="108" t="s">
        <v>171</v>
      </c>
      <c r="C63" s="78">
        <v>0</v>
      </c>
      <c r="D63" s="119"/>
      <c r="E63" s="124">
        <v>54</v>
      </c>
      <c r="F63" s="120">
        <v>54</v>
      </c>
      <c r="G63" s="119"/>
      <c r="H63" s="120">
        <f t="shared" si="7"/>
        <v>0</v>
      </c>
      <c r="I63" s="120">
        <f t="shared" si="7"/>
        <v>0</v>
      </c>
      <c r="J63" s="120">
        <f t="shared" si="6"/>
        <v>0</v>
      </c>
    </row>
    <row r="64" spans="2:10" ht="15.75" thickBot="1" x14ac:dyDescent="0.3">
      <c r="B64" s="108" t="s">
        <v>21</v>
      </c>
      <c r="C64" s="78">
        <v>0</v>
      </c>
      <c r="D64" s="119"/>
      <c r="E64" s="124">
        <v>4.32</v>
      </c>
      <c r="F64" s="120">
        <v>4.32</v>
      </c>
      <c r="G64" s="119"/>
      <c r="H64" s="120">
        <f t="shared" si="7"/>
        <v>0</v>
      </c>
      <c r="I64" s="120">
        <f t="shared" si="7"/>
        <v>0</v>
      </c>
      <c r="J64" s="120">
        <f t="shared" si="6"/>
        <v>0</v>
      </c>
    </row>
    <row r="65" spans="2:10" ht="15.75" thickBot="1" x14ac:dyDescent="0.3">
      <c r="B65" s="108" t="s">
        <v>152</v>
      </c>
      <c r="C65" s="78">
        <v>0</v>
      </c>
      <c r="D65" s="119"/>
      <c r="E65" s="120">
        <v>30</v>
      </c>
      <c r="F65" s="120">
        <v>30</v>
      </c>
      <c r="G65" s="119"/>
      <c r="H65" s="120">
        <f t="shared" si="7"/>
        <v>0</v>
      </c>
      <c r="I65" s="120">
        <f t="shared" si="7"/>
        <v>0</v>
      </c>
      <c r="J65" s="120">
        <f t="shared" si="6"/>
        <v>0</v>
      </c>
    </row>
    <row r="66" spans="2:10" ht="15.75" thickBot="1" x14ac:dyDescent="0.3">
      <c r="B66" s="108" t="s">
        <v>150</v>
      </c>
      <c r="C66" s="78">
        <v>0</v>
      </c>
      <c r="D66" s="119"/>
      <c r="E66" s="120">
        <v>10</v>
      </c>
      <c r="F66" s="120">
        <v>10</v>
      </c>
      <c r="G66" s="119"/>
      <c r="H66" s="120">
        <f t="shared" si="7"/>
        <v>0</v>
      </c>
      <c r="I66" s="120">
        <f t="shared" si="7"/>
        <v>0</v>
      </c>
      <c r="J66" s="120">
        <f t="shared" si="6"/>
        <v>0</v>
      </c>
    </row>
    <row r="67" spans="2:10" ht="15.75" thickBot="1" x14ac:dyDescent="0.3">
      <c r="B67" s="108" t="s">
        <v>151</v>
      </c>
      <c r="C67" s="78">
        <v>0</v>
      </c>
      <c r="D67" s="119"/>
      <c r="E67" s="120">
        <v>40</v>
      </c>
      <c r="F67" s="120">
        <v>40</v>
      </c>
      <c r="G67" s="119"/>
      <c r="H67" s="120">
        <f t="shared" si="7"/>
        <v>0</v>
      </c>
      <c r="I67" s="120">
        <f t="shared" si="7"/>
        <v>0</v>
      </c>
      <c r="J67" s="120">
        <f t="shared" si="6"/>
        <v>0</v>
      </c>
    </row>
    <row r="68" spans="2:10" ht="15.75" thickBot="1" x14ac:dyDescent="0.3">
      <c r="B68" s="108" t="s">
        <v>161</v>
      </c>
      <c r="C68" s="78">
        <v>0</v>
      </c>
      <c r="D68" s="119"/>
      <c r="E68" s="120">
        <v>4</v>
      </c>
      <c r="F68" s="120">
        <v>4.0999999999999996</v>
      </c>
      <c r="G68" s="119"/>
      <c r="H68" s="120">
        <f t="shared" si="7"/>
        <v>0</v>
      </c>
      <c r="I68" s="120">
        <f t="shared" si="7"/>
        <v>0</v>
      </c>
      <c r="J68" s="120">
        <f t="shared" si="6"/>
        <v>0</v>
      </c>
    </row>
    <row r="69" spans="2:10" ht="15.75" thickBot="1" x14ac:dyDescent="0.3">
      <c r="B69" s="128" t="s">
        <v>162</v>
      </c>
      <c r="C69" s="107"/>
      <c r="D69" s="129"/>
      <c r="E69" s="107"/>
      <c r="F69" s="107"/>
      <c r="G69" s="119"/>
      <c r="H69" s="139">
        <f>SUM(H46:H68)</f>
        <v>2247</v>
      </c>
      <c r="I69" s="139">
        <f t="shared" ref="I69:J69" si="8">SUM(I46:I68)</f>
        <v>4296.7</v>
      </c>
      <c r="J69" s="139">
        <f t="shared" si="8"/>
        <v>2049.6999999999998</v>
      </c>
    </row>
    <row r="70" spans="2:10" x14ac:dyDescent="0.25">
      <c r="B70" s="108"/>
      <c r="C70" s="107"/>
      <c r="D70" s="108"/>
      <c r="E70" s="107"/>
      <c r="F70" s="107"/>
      <c r="G70" s="108"/>
      <c r="H70" s="107"/>
      <c r="I70" s="107"/>
      <c r="J70" s="107"/>
    </row>
    <row r="71" spans="2:10" ht="15.75" thickBot="1" x14ac:dyDescent="0.3">
      <c r="B71" s="117" t="s">
        <v>92</v>
      </c>
      <c r="C71" s="118" t="s">
        <v>3</v>
      </c>
      <c r="D71" s="118"/>
      <c r="E71" s="118" t="s">
        <v>34</v>
      </c>
      <c r="F71" s="118" t="s">
        <v>35</v>
      </c>
      <c r="G71" s="118"/>
      <c r="H71" s="118" t="s">
        <v>34</v>
      </c>
      <c r="I71" s="118" t="s">
        <v>35</v>
      </c>
      <c r="J71" s="118" t="s">
        <v>47</v>
      </c>
    </row>
    <row r="72" spans="2:10" ht="15.75" thickBot="1" x14ac:dyDescent="0.3">
      <c r="B72" s="108" t="s">
        <v>163</v>
      </c>
      <c r="C72" s="78">
        <v>1</v>
      </c>
      <c r="D72" s="119"/>
      <c r="E72" s="124">
        <v>9.58</v>
      </c>
      <c r="F72" s="138"/>
      <c r="G72" s="119"/>
      <c r="H72" s="120">
        <f>$C72*E72</f>
        <v>9.58</v>
      </c>
      <c r="I72" s="120">
        <f>$C72*F72</f>
        <v>0</v>
      </c>
      <c r="J72" s="120">
        <f>I72-H72</f>
        <v>-9.58</v>
      </c>
    </row>
    <row r="73" spans="2:10" ht="15.75" thickBot="1" x14ac:dyDescent="0.3">
      <c r="B73" s="108" t="s">
        <v>93</v>
      </c>
      <c r="C73" s="78">
        <v>0</v>
      </c>
      <c r="D73" s="119"/>
      <c r="E73" s="124">
        <v>7.54</v>
      </c>
      <c r="F73" s="124">
        <v>7.54</v>
      </c>
      <c r="G73" s="119"/>
      <c r="H73" s="120">
        <f t="shared" ref="H73:I75" si="9">$C73*E73</f>
        <v>0</v>
      </c>
      <c r="I73" s="120">
        <f t="shared" si="9"/>
        <v>0</v>
      </c>
      <c r="J73" s="120">
        <f>I73-H73</f>
        <v>0</v>
      </c>
    </row>
    <row r="74" spans="2:10" ht="15.75" thickBot="1" x14ac:dyDescent="0.3">
      <c r="B74" s="108" t="s">
        <v>164</v>
      </c>
      <c r="C74" s="78">
        <v>0</v>
      </c>
      <c r="D74" s="119"/>
      <c r="E74" s="124">
        <v>10</v>
      </c>
      <c r="F74" s="124">
        <v>10</v>
      </c>
      <c r="G74" s="119"/>
      <c r="H74" s="120">
        <f t="shared" si="9"/>
        <v>0</v>
      </c>
      <c r="I74" s="120">
        <f t="shared" si="9"/>
        <v>0</v>
      </c>
      <c r="J74" s="120">
        <f>I74-H74</f>
        <v>0</v>
      </c>
    </row>
    <row r="75" spans="2:10" ht="15.75" thickBot="1" x14ac:dyDescent="0.3">
      <c r="B75" s="108" t="s">
        <v>165</v>
      </c>
      <c r="C75" s="78">
        <v>0</v>
      </c>
      <c r="D75" s="119"/>
      <c r="E75" s="138"/>
      <c r="F75" s="124">
        <v>2.5</v>
      </c>
      <c r="G75" s="119"/>
      <c r="H75" s="120">
        <f t="shared" si="9"/>
        <v>0</v>
      </c>
      <c r="I75" s="120">
        <f t="shared" si="9"/>
        <v>0</v>
      </c>
      <c r="J75" s="120">
        <f>I75-H75</f>
        <v>0</v>
      </c>
    </row>
    <row r="76" spans="2:10" ht="15.75" thickBot="1" x14ac:dyDescent="0.3">
      <c r="B76" s="128" t="s">
        <v>95</v>
      </c>
      <c r="C76" s="107"/>
      <c r="D76" s="129"/>
      <c r="E76" s="107"/>
      <c r="F76" s="107"/>
      <c r="G76" s="119"/>
      <c r="H76" s="139">
        <f>SUM(H72:H75)</f>
        <v>9.58</v>
      </c>
      <c r="I76" s="139">
        <f t="shared" ref="I76:J76" si="10">SUM(I72:I75)</f>
        <v>0</v>
      </c>
      <c r="J76" s="139">
        <f t="shared" si="10"/>
        <v>-9.58</v>
      </c>
    </row>
    <row r="77" spans="2:10" x14ac:dyDescent="0.25">
      <c r="B77" s="128"/>
      <c r="C77" s="107"/>
      <c r="D77" s="129"/>
      <c r="E77" s="107"/>
      <c r="F77" s="107"/>
      <c r="G77" s="119"/>
      <c r="H77" s="159"/>
      <c r="I77" s="159"/>
      <c r="J77" s="159"/>
    </row>
    <row r="78" spans="2:10" ht="15.75" thickBot="1" x14ac:dyDescent="0.3">
      <c r="B78" s="117" t="s">
        <v>189</v>
      </c>
      <c r="C78" s="107"/>
      <c r="D78" s="108"/>
      <c r="E78" s="107"/>
      <c r="F78" s="107"/>
      <c r="G78" s="118"/>
      <c r="H78" s="118" t="s">
        <v>34</v>
      </c>
      <c r="I78" s="118" t="s">
        <v>35</v>
      </c>
      <c r="J78" s="118" t="s">
        <v>47</v>
      </c>
    </row>
    <row r="79" spans="2:10" ht="15.75" thickBot="1" x14ac:dyDescent="0.3">
      <c r="B79" s="108" t="s">
        <v>190</v>
      </c>
      <c r="C79" s="107"/>
      <c r="D79" s="108"/>
      <c r="E79" s="107"/>
      <c r="F79" s="107"/>
      <c r="G79" s="119"/>
      <c r="H79" s="154"/>
      <c r="I79" s="154"/>
      <c r="J79" s="120">
        <f t="shared" ref="J79:J80" si="11">I79-H79</f>
        <v>0</v>
      </c>
    </row>
    <row r="80" spans="2:10" ht="15.75" thickBot="1" x14ac:dyDescent="0.3">
      <c r="B80" s="108" t="s">
        <v>191</v>
      </c>
      <c r="C80" s="107"/>
      <c r="D80" s="108"/>
      <c r="E80" s="107"/>
      <c r="F80" s="107"/>
      <c r="G80" s="119"/>
      <c r="H80" s="154"/>
      <c r="I80" s="154"/>
      <c r="J80" s="120">
        <f t="shared" si="11"/>
        <v>0</v>
      </c>
    </row>
    <row r="81" spans="2:10" ht="15.75" thickBot="1" x14ac:dyDescent="0.3">
      <c r="B81" s="128" t="s">
        <v>192</v>
      </c>
      <c r="C81" s="107"/>
      <c r="D81" s="129"/>
      <c r="E81" s="107"/>
      <c r="F81" s="107"/>
      <c r="G81" s="119"/>
      <c r="H81" s="139">
        <f>SUM(H79:H80)</f>
        <v>0</v>
      </c>
      <c r="I81" s="139">
        <f>SUM(I79:I80)</f>
        <v>0</v>
      </c>
      <c r="J81" s="139">
        <f>SUM(J79:J80)</f>
        <v>0</v>
      </c>
    </row>
    <row r="82" spans="2:10" ht="15.75" thickBot="1" x14ac:dyDescent="0.3">
      <c r="B82" s="107"/>
      <c r="C82" s="107"/>
      <c r="D82" s="108"/>
      <c r="E82" s="107"/>
      <c r="F82" s="107"/>
      <c r="G82" s="108"/>
      <c r="H82" s="107"/>
      <c r="I82" s="107"/>
      <c r="J82" s="107"/>
    </row>
    <row r="83" spans="2:10" ht="15.75" thickBot="1" x14ac:dyDescent="0.3">
      <c r="B83" s="128" t="s">
        <v>96</v>
      </c>
      <c r="C83" s="130"/>
      <c r="D83" s="131"/>
      <c r="E83" s="109"/>
      <c r="F83" s="130"/>
      <c r="G83" s="131"/>
      <c r="H83" s="139">
        <f>H27+H43+H69+H76+H81</f>
        <v>18834.365682525568</v>
      </c>
      <c r="I83" s="139">
        <f>I27+I43+I69+I76+I81</f>
        <v>22636.749627791567</v>
      </c>
      <c r="J83" s="139">
        <f>J27+J43+J69+J76+J81</f>
        <v>3802.3839452659968</v>
      </c>
    </row>
    <row r="84" spans="2:10" x14ac:dyDescent="0.25">
      <c r="C84" s="105"/>
      <c r="D84" s="132"/>
      <c r="E84" s="132"/>
      <c r="F84" s="133"/>
      <c r="G84" s="132"/>
      <c r="H84" s="132"/>
      <c r="I84" s="132"/>
      <c r="J84" s="132"/>
    </row>
    <row r="85" spans="2:10" x14ac:dyDescent="0.25">
      <c r="B85" s="128" t="s">
        <v>225</v>
      </c>
    </row>
    <row r="86" spans="2:10" x14ac:dyDescent="0.25">
      <c r="B86" s="171" t="s">
        <v>226</v>
      </c>
    </row>
  </sheetData>
  <mergeCells count="5">
    <mergeCell ref="B20:J20"/>
    <mergeCell ref="E22:F22"/>
    <mergeCell ref="H22:J22"/>
    <mergeCell ref="H44:J44"/>
    <mergeCell ref="B9:J9"/>
  </mergeCells>
  <hyperlinks>
    <hyperlink ref="B12" r:id="rId1" xr:uid="{3CABA3AF-BED1-45E5-B9AA-C3EC08328E76}"/>
    <hyperlink ref="B86" r:id="rId2" xr:uid="{2729548C-16B7-42B4-AFAC-12CB6A6F0E89}"/>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promptTitle="% of target for full service " prompt="Select % of target for full service" xr:uid="{FB9EBF41-C8C4-4DDF-BA15-D3A9DD8926DE}">
          <x14:formula1>
            <xm:f>ProfitOptions!$E$3:$E$7</xm:f>
          </x14:formula1>
          <xm:sqref>C51</xm:sqref>
        </x14:dataValidation>
        <x14:dataValidation type="list" allowBlank="1" showInputMessage="1" showErrorMessage="1" promptTitle="Select % Average Buying Profit" prompt="Estimate how well you perform compared to the average pharmacy._x000a_Select 100% if you perform in line with the average pharmacy_x000a_Select less than 100% if you perform worse than average_x000a_Select more the 100% if you perform better than average" xr:uid="{97C07063-9439-441E-8108-C274FC9995D2}">
          <x14:formula1>
            <xm:f>ProfitOptions!$B$3:$B$9</xm:f>
          </x14:formula1>
          <xm:sqref>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1F0C-37DC-4375-8270-ACD17EE232F1}">
  <dimension ref="B5:N80"/>
  <sheetViews>
    <sheetView showGridLines="0" zoomScale="120" zoomScaleNormal="120" workbookViewId="0">
      <selection activeCell="A4" sqref="A4"/>
    </sheetView>
  </sheetViews>
  <sheetFormatPr defaultColWidth="13.7109375" defaultRowHeight="15" outlineLevelRow="1" x14ac:dyDescent="0.25"/>
  <cols>
    <col min="1" max="1" width="2.7109375" style="49" customWidth="1"/>
    <col min="2" max="2" width="27.7109375" style="49" customWidth="1"/>
    <col min="3" max="5" width="13.7109375" style="49"/>
    <col min="6" max="8" width="12.7109375" style="49" customWidth="1"/>
    <col min="9" max="9" width="13.7109375" style="49"/>
    <col min="10" max="13" width="0" style="49" hidden="1" customWidth="1"/>
    <col min="14" max="16384" width="13.7109375" style="49"/>
  </cols>
  <sheetData>
    <row r="5" spans="2:14" ht="20.25" x14ac:dyDescent="0.3">
      <c r="B5" s="55" t="s">
        <v>140</v>
      </c>
    </row>
    <row r="6" spans="2:14" ht="15" customHeight="1" x14ac:dyDescent="0.3">
      <c r="B6" s="55"/>
    </row>
    <row r="7" spans="2:14" x14ac:dyDescent="0.25">
      <c r="B7" s="49" t="s">
        <v>111</v>
      </c>
    </row>
    <row r="9" spans="2:14" ht="15.75" thickBot="1" x14ac:dyDescent="0.3">
      <c r="E9" s="54" t="s">
        <v>34</v>
      </c>
      <c r="F9" s="54" t="s">
        <v>35</v>
      </c>
    </row>
    <row r="10" spans="2:14" ht="15.75" thickBot="1" x14ac:dyDescent="0.3">
      <c r="B10" s="62" t="s">
        <v>129</v>
      </c>
      <c r="C10" s="62"/>
      <c r="D10" s="86"/>
      <c r="E10" s="76">
        <f>12.21-0.77</f>
        <v>11.440000000000001</v>
      </c>
      <c r="F10" s="76">
        <v>12.21</v>
      </c>
    </row>
    <row r="11" spans="2:14" ht="15.75" thickBot="1" x14ac:dyDescent="0.3">
      <c r="B11" s="62" t="s">
        <v>130</v>
      </c>
      <c r="C11" s="62"/>
      <c r="D11" s="86"/>
      <c r="E11" s="76">
        <v>8.6</v>
      </c>
      <c r="F11" s="76">
        <v>10</v>
      </c>
    </row>
    <row r="12" spans="2:14" ht="15.75" thickBot="1" x14ac:dyDescent="0.3">
      <c r="B12" s="62" t="s">
        <v>131</v>
      </c>
      <c r="C12" s="62"/>
      <c r="D12" s="86"/>
      <c r="E12" s="76">
        <v>6.4</v>
      </c>
      <c r="F12" s="76">
        <v>7.55</v>
      </c>
    </row>
    <row r="13" spans="2:14" x14ac:dyDescent="0.25">
      <c r="B13" s="62"/>
      <c r="C13" s="62"/>
      <c r="D13" s="62"/>
      <c r="E13" s="63"/>
      <c r="F13" s="63"/>
    </row>
    <row r="14" spans="2:14" x14ac:dyDescent="0.25">
      <c r="B14" s="81" t="s">
        <v>121</v>
      </c>
      <c r="C14" s="80"/>
      <c r="D14" s="80"/>
      <c r="E14" s="80"/>
      <c r="F14" s="80"/>
      <c r="G14" s="80"/>
      <c r="H14" s="80"/>
      <c r="I14" s="80"/>
      <c r="N14" s="80"/>
    </row>
    <row r="15" spans="2:14" x14ac:dyDescent="0.25">
      <c r="B15" s="77" t="s">
        <v>122</v>
      </c>
      <c r="C15" s="57"/>
      <c r="D15" s="57"/>
      <c r="E15" s="57"/>
      <c r="F15" s="57"/>
      <c r="G15" s="57"/>
      <c r="H15" s="57"/>
      <c r="I15" s="57"/>
      <c r="J15" s="152" t="s">
        <v>126</v>
      </c>
      <c r="K15" s="153"/>
      <c r="L15" s="152" t="s">
        <v>127</v>
      </c>
      <c r="M15" s="153"/>
      <c r="N15" s="57"/>
    </row>
    <row r="16" spans="2:14" x14ac:dyDescent="0.25">
      <c r="B16" s="148" t="s">
        <v>169</v>
      </c>
      <c r="C16" s="149"/>
      <c r="D16" s="149"/>
      <c r="E16" s="149"/>
      <c r="F16" s="149"/>
      <c r="G16" s="149"/>
      <c r="H16" s="149"/>
      <c r="I16" s="149"/>
      <c r="J16" s="150"/>
      <c r="K16" s="151"/>
      <c r="L16" s="150"/>
      <c r="M16" s="151"/>
      <c r="N16" s="149"/>
    </row>
    <row r="17" spans="2:13" x14ac:dyDescent="0.25">
      <c r="B17" s="64"/>
      <c r="J17" s="65"/>
      <c r="K17" s="66"/>
      <c r="L17" s="65"/>
      <c r="M17" s="66"/>
    </row>
    <row r="18" spans="2:13" ht="15.75" thickBot="1" x14ac:dyDescent="0.3">
      <c r="B18" s="58" t="s">
        <v>99</v>
      </c>
      <c r="C18" s="54" t="s">
        <v>120</v>
      </c>
      <c r="D18" s="54" t="s">
        <v>115</v>
      </c>
      <c r="E18" s="54" t="s">
        <v>119</v>
      </c>
      <c r="F18" s="54" t="s">
        <v>113</v>
      </c>
      <c r="G18" s="54" t="s">
        <v>114</v>
      </c>
      <c r="H18" s="54" t="s">
        <v>106</v>
      </c>
      <c r="J18" s="67" t="s">
        <v>34</v>
      </c>
      <c r="K18" s="67" t="s">
        <v>35</v>
      </c>
      <c r="L18" s="67" t="s">
        <v>34</v>
      </c>
      <c r="M18" s="67" t="s">
        <v>35</v>
      </c>
    </row>
    <row r="19" spans="2:13" x14ac:dyDescent="0.25">
      <c r="B19" s="88" t="s">
        <v>59</v>
      </c>
      <c r="C19" s="89">
        <v>20</v>
      </c>
      <c r="D19" s="90">
        <v>12.21</v>
      </c>
      <c r="E19" s="97">
        <f t="shared" ref="E19:E24" si="0">_xlfn.XLOOKUP($D19,$F$10:$F$12,$E$10:$E$12)</f>
        <v>11.440000000000001</v>
      </c>
      <c r="F19" s="141">
        <f>C19*E19*52/12</f>
        <v>991.4666666666667</v>
      </c>
      <c r="G19" s="141">
        <f>C19*D19*52/12</f>
        <v>1058.2</v>
      </c>
      <c r="H19" s="141">
        <f>G19-F19</f>
        <v>66.733333333333348</v>
      </c>
      <c r="I19" s="68"/>
      <c r="J19" s="69">
        <f>F19*12</f>
        <v>11897.6</v>
      </c>
      <c r="K19" s="69">
        <f>G19*12</f>
        <v>12698.400000000001</v>
      </c>
      <c r="L19" s="70">
        <f>IF(J19&gt;9100,(J19-9100)*0.138,0)</f>
        <v>386.06880000000007</v>
      </c>
      <c r="M19" s="70">
        <f>IF(K19&gt;9100,(K19-9100)*0.138,0)</f>
        <v>496.57920000000024</v>
      </c>
    </row>
    <row r="20" spans="2:13" x14ac:dyDescent="0.25">
      <c r="B20" s="91" t="s">
        <v>60</v>
      </c>
      <c r="C20" s="92">
        <v>35</v>
      </c>
      <c r="D20" s="93">
        <v>10</v>
      </c>
      <c r="E20" s="98">
        <f t="shared" si="0"/>
        <v>8.6</v>
      </c>
      <c r="F20" s="142">
        <f t="shared" ref="F20:F68" si="1">C20*E20*52/12</f>
        <v>1304.3333333333333</v>
      </c>
      <c r="G20" s="142">
        <f t="shared" ref="G20:G68" si="2">C20*D20*52/12</f>
        <v>1516.6666666666667</v>
      </c>
      <c r="H20" s="142">
        <f t="shared" ref="H20:H68" si="3">G20-F20</f>
        <v>212.33333333333348</v>
      </c>
      <c r="I20" s="68"/>
      <c r="J20" s="69">
        <f t="shared" ref="J20:J68" si="4">F20*12</f>
        <v>15652</v>
      </c>
      <c r="K20" s="69">
        <f t="shared" ref="K20:K68" si="5">G20*12</f>
        <v>18200</v>
      </c>
      <c r="L20" s="71">
        <f t="shared" ref="L20:L68" si="6">IF(J20&gt;9100,(J20-9100)*0.138,0)</f>
        <v>904.17600000000004</v>
      </c>
      <c r="M20" s="71">
        <f t="shared" ref="M20:M68" si="7">IF(K20&gt;9100,(K20-9100)*0.138,0)</f>
        <v>1255.8000000000002</v>
      </c>
    </row>
    <row r="21" spans="2:13" x14ac:dyDescent="0.25">
      <c r="B21" s="91" t="s">
        <v>61</v>
      </c>
      <c r="C21" s="92">
        <v>10</v>
      </c>
      <c r="D21" s="93">
        <v>7.55</v>
      </c>
      <c r="E21" s="98">
        <f t="shared" si="0"/>
        <v>6.4</v>
      </c>
      <c r="F21" s="142">
        <f t="shared" si="1"/>
        <v>277.33333333333331</v>
      </c>
      <c r="G21" s="142">
        <f t="shared" si="2"/>
        <v>327.16666666666669</v>
      </c>
      <c r="H21" s="142">
        <f t="shared" si="3"/>
        <v>49.833333333333371</v>
      </c>
      <c r="I21" s="68"/>
      <c r="J21" s="69">
        <f t="shared" si="4"/>
        <v>3328</v>
      </c>
      <c r="K21" s="69">
        <f t="shared" si="5"/>
        <v>3926</v>
      </c>
      <c r="L21" s="71">
        <f t="shared" si="6"/>
        <v>0</v>
      </c>
      <c r="M21" s="71">
        <f t="shared" si="7"/>
        <v>0</v>
      </c>
    </row>
    <row r="22" spans="2:13" x14ac:dyDescent="0.25">
      <c r="B22" s="91" t="s">
        <v>116</v>
      </c>
      <c r="C22" s="92">
        <v>20</v>
      </c>
      <c r="D22" s="93">
        <v>10</v>
      </c>
      <c r="E22" s="98">
        <f t="shared" si="0"/>
        <v>8.6</v>
      </c>
      <c r="F22" s="142">
        <f t="shared" si="1"/>
        <v>745.33333333333337</v>
      </c>
      <c r="G22" s="142">
        <f t="shared" si="2"/>
        <v>866.66666666666663</v>
      </c>
      <c r="H22" s="142">
        <f t="shared" si="3"/>
        <v>121.33333333333326</v>
      </c>
      <c r="I22" s="68"/>
      <c r="J22" s="69">
        <f t="shared" si="4"/>
        <v>8944</v>
      </c>
      <c r="K22" s="69">
        <f t="shared" si="5"/>
        <v>10400</v>
      </c>
      <c r="L22" s="71">
        <f t="shared" si="6"/>
        <v>0</v>
      </c>
      <c r="M22" s="71">
        <f t="shared" si="7"/>
        <v>179.4</v>
      </c>
    </row>
    <row r="23" spans="2:13" x14ac:dyDescent="0.25">
      <c r="B23" s="91" t="s">
        <v>118</v>
      </c>
      <c r="C23" s="92">
        <v>30</v>
      </c>
      <c r="D23" s="93">
        <v>12.21</v>
      </c>
      <c r="E23" s="98">
        <f t="shared" si="0"/>
        <v>11.440000000000001</v>
      </c>
      <c r="F23" s="142">
        <f t="shared" si="1"/>
        <v>1487.2</v>
      </c>
      <c r="G23" s="142">
        <f t="shared" si="2"/>
        <v>1587.3000000000002</v>
      </c>
      <c r="H23" s="142">
        <f t="shared" si="3"/>
        <v>100.10000000000014</v>
      </c>
      <c r="I23" s="68"/>
      <c r="J23" s="69">
        <f t="shared" si="4"/>
        <v>17846.400000000001</v>
      </c>
      <c r="K23" s="69">
        <f t="shared" si="5"/>
        <v>19047.600000000002</v>
      </c>
      <c r="L23" s="71">
        <f t="shared" si="6"/>
        <v>1207.0032000000003</v>
      </c>
      <c r="M23" s="71">
        <f t="shared" si="7"/>
        <v>1372.7688000000005</v>
      </c>
    </row>
    <row r="24" spans="2:13" x14ac:dyDescent="0.25">
      <c r="B24" s="91" t="s">
        <v>117</v>
      </c>
      <c r="C24" s="92">
        <v>35</v>
      </c>
      <c r="D24" s="93">
        <v>12.21</v>
      </c>
      <c r="E24" s="98">
        <f t="shared" si="0"/>
        <v>11.440000000000001</v>
      </c>
      <c r="F24" s="142">
        <f t="shared" si="1"/>
        <v>1735.0666666666668</v>
      </c>
      <c r="G24" s="142">
        <f t="shared" si="2"/>
        <v>1851.8500000000001</v>
      </c>
      <c r="H24" s="142">
        <f t="shared" si="3"/>
        <v>116.7833333333333</v>
      </c>
      <c r="I24" s="68"/>
      <c r="J24" s="69">
        <f t="shared" si="4"/>
        <v>20820.800000000003</v>
      </c>
      <c r="K24" s="69">
        <f t="shared" si="5"/>
        <v>22222.2</v>
      </c>
      <c r="L24" s="71">
        <f t="shared" si="6"/>
        <v>1617.4704000000006</v>
      </c>
      <c r="M24" s="71">
        <f t="shared" si="7"/>
        <v>1810.8636000000004</v>
      </c>
    </row>
    <row r="25" spans="2:13" x14ac:dyDescent="0.25">
      <c r="B25" s="91"/>
      <c r="C25" s="92"/>
      <c r="D25" s="93"/>
      <c r="E25" s="98"/>
      <c r="F25" s="142">
        <f t="shared" si="1"/>
        <v>0</v>
      </c>
      <c r="G25" s="142">
        <f t="shared" si="2"/>
        <v>0</v>
      </c>
      <c r="H25" s="142">
        <f t="shared" si="3"/>
        <v>0</v>
      </c>
      <c r="J25" s="69">
        <f t="shared" si="4"/>
        <v>0</v>
      </c>
      <c r="K25" s="69">
        <f t="shared" si="5"/>
        <v>0</v>
      </c>
      <c r="L25" s="71">
        <f t="shared" si="6"/>
        <v>0</v>
      </c>
      <c r="M25" s="71">
        <f t="shared" si="7"/>
        <v>0</v>
      </c>
    </row>
    <row r="26" spans="2:13" x14ac:dyDescent="0.25">
      <c r="B26" s="91"/>
      <c r="C26" s="92"/>
      <c r="D26" s="93"/>
      <c r="E26" s="98"/>
      <c r="F26" s="142">
        <f t="shared" si="1"/>
        <v>0</v>
      </c>
      <c r="G26" s="142">
        <f t="shared" si="2"/>
        <v>0</v>
      </c>
      <c r="H26" s="142">
        <f t="shared" si="3"/>
        <v>0</v>
      </c>
      <c r="J26" s="69">
        <f t="shared" si="4"/>
        <v>0</v>
      </c>
      <c r="K26" s="69">
        <f t="shared" si="5"/>
        <v>0</v>
      </c>
      <c r="L26" s="71">
        <f t="shared" si="6"/>
        <v>0</v>
      </c>
      <c r="M26" s="71">
        <f t="shared" si="7"/>
        <v>0</v>
      </c>
    </row>
    <row r="27" spans="2:13" x14ac:dyDescent="0.25">
      <c r="B27" s="91"/>
      <c r="C27" s="92"/>
      <c r="D27" s="93"/>
      <c r="E27" s="98"/>
      <c r="F27" s="142">
        <f t="shared" ref="F27" si="8">C27*E27*52/12</f>
        <v>0</v>
      </c>
      <c r="G27" s="142">
        <f t="shared" ref="G27" si="9">C27*D27*52/12</f>
        <v>0</v>
      </c>
      <c r="H27" s="142">
        <f t="shared" ref="H27" si="10">G27-F27</f>
        <v>0</v>
      </c>
      <c r="J27" s="69"/>
      <c r="K27" s="69"/>
      <c r="L27" s="71"/>
      <c r="M27" s="71"/>
    </row>
    <row r="28" spans="2:13" ht="15.75" thickBot="1" x14ac:dyDescent="0.3">
      <c r="B28" s="91"/>
      <c r="C28" s="92"/>
      <c r="D28" s="93"/>
      <c r="E28" s="98"/>
      <c r="F28" s="142">
        <f t="shared" ref="F28:F67" si="11">C28*E28*52/12</f>
        <v>0</v>
      </c>
      <c r="G28" s="142">
        <f t="shared" ref="G28:G67" si="12">C28*D28*52/12</f>
        <v>0</v>
      </c>
      <c r="H28" s="142">
        <f t="shared" ref="H28:H67" si="13">G28-F28</f>
        <v>0</v>
      </c>
      <c r="J28" s="69"/>
      <c r="K28" s="69"/>
      <c r="L28" s="71"/>
      <c r="M28" s="71"/>
    </row>
    <row r="29" spans="2:13" hidden="1" outlineLevel="1" x14ac:dyDescent="0.25">
      <c r="B29" s="91"/>
      <c r="C29" s="92"/>
      <c r="D29" s="93"/>
      <c r="E29" s="98"/>
      <c r="F29" s="142">
        <f t="shared" si="11"/>
        <v>0</v>
      </c>
      <c r="G29" s="142">
        <f t="shared" si="12"/>
        <v>0</v>
      </c>
      <c r="H29" s="142">
        <f t="shared" si="13"/>
        <v>0</v>
      </c>
      <c r="J29" s="69"/>
      <c r="K29" s="69"/>
      <c r="L29" s="71"/>
      <c r="M29" s="71"/>
    </row>
    <row r="30" spans="2:13" hidden="1" outlineLevel="1" x14ac:dyDescent="0.25">
      <c r="B30" s="91"/>
      <c r="C30" s="92"/>
      <c r="D30" s="93"/>
      <c r="E30" s="98"/>
      <c r="F30" s="142">
        <f t="shared" si="11"/>
        <v>0</v>
      </c>
      <c r="G30" s="142">
        <f t="shared" si="12"/>
        <v>0</v>
      </c>
      <c r="H30" s="142">
        <f t="shared" si="13"/>
        <v>0</v>
      </c>
      <c r="J30" s="69"/>
      <c r="K30" s="69"/>
      <c r="L30" s="71"/>
      <c r="M30" s="71"/>
    </row>
    <row r="31" spans="2:13" hidden="1" outlineLevel="1" x14ac:dyDescent="0.25">
      <c r="B31" s="91"/>
      <c r="C31" s="92"/>
      <c r="D31" s="93"/>
      <c r="E31" s="98"/>
      <c r="F31" s="142">
        <f t="shared" si="11"/>
        <v>0</v>
      </c>
      <c r="G31" s="142">
        <f t="shared" si="12"/>
        <v>0</v>
      </c>
      <c r="H31" s="142">
        <f t="shared" si="13"/>
        <v>0</v>
      </c>
      <c r="J31" s="69"/>
      <c r="K31" s="69"/>
      <c r="L31" s="71"/>
      <c r="M31" s="71"/>
    </row>
    <row r="32" spans="2:13" hidden="1" outlineLevel="1" x14ac:dyDescent="0.25">
      <c r="B32" s="91"/>
      <c r="C32" s="92"/>
      <c r="D32" s="93"/>
      <c r="E32" s="98"/>
      <c r="F32" s="142">
        <f t="shared" si="11"/>
        <v>0</v>
      </c>
      <c r="G32" s="142">
        <f t="shared" si="12"/>
        <v>0</v>
      </c>
      <c r="H32" s="142">
        <f t="shared" si="13"/>
        <v>0</v>
      </c>
      <c r="J32" s="69"/>
      <c r="K32" s="69"/>
      <c r="L32" s="71"/>
      <c r="M32" s="71"/>
    </row>
    <row r="33" spans="2:13" hidden="1" outlineLevel="1" x14ac:dyDescent="0.25">
      <c r="B33" s="91"/>
      <c r="C33" s="92"/>
      <c r="D33" s="93"/>
      <c r="E33" s="98"/>
      <c r="F33" s="142">
        <f t="shared" si="11"/>
        <v>0</v>
      </c>
      <c r="G33" s="142">
        <f t="shared" si="12"/>
        <v>0</v>
      </c>
      <c r="H33" s="142">
        <f t="shared" si="13"/>
        <v>0</v>
      </c>
      <c r="J33" s="69"/>
      <c r="K33" s="69"/>
      <c r="L33" s="71"/>
      <c r="M33" s="71"/>
    </row>
    <row r="34" spans="2:13" hidden="1" outlineLevel="1" x14ac:dyDescent="0.25">
      <c r="B34" s="91"/>
      <c r="C34" s="92"/>
      <c r="D34" s="93"/>
      <c r="E34" s="98"/>
      <c r="F34" s="142">
        <f t="shared" si="11"/>
        <v>0</v>
      </c>
      <c r="G34" s="142">
        <f t="shared" si="12"/>
        <v>0</v>
      </c>
      <c r="H34" s="142">
        <f t="shared" si="13"/>
        <v>0</v>
      </c>
      <c r="J34" s="69"/>
      <c r="K34" s="69"/>
      <c r="L34" s="71"/>
      <c r="M34" s="71"/>
    </row>
    <row r="35" spans="2:13" hidden="1" outlineLevel="1" x14ac:dyDescent="0.25">
      <c r="B35" s="91"/>
      <c r="C35" s="92"/>
      <c r="D35" s="93"/>
      <c r="E35" s="98"/>
      <c r="F35" s="142">
        <f t="shared" si="11"/>
        <v>0</v>
      </c>
      <c r="G35" s="142">
        <f t="shared" si="12"/>
        <v>0</v>
      </c>
      <c r="H35" s="142">
        <f t="shared" si="13"/>
        <v>0</v>
      </c>
      <c r="J35" s="69"/>
      <c r="K35" s="69"/>
      <c r="L35" s="71"/>
      <c r="M35" s="71"/>
    </row>
    <row r="36" spans="2:13" hidden="1" outlineLevel="1" x14ac:dyDescent="0.25">
      <c r="B36" s="91"/>
      <c r="C36" s="92"/>
      <c r="D36" s="93"/>
      <c r="E36" s="98"/>
      <c r="F36" s="142">
        <f t="shared" si="11"/>
        <v>0</v>
      </c>
      <c r="G36" s="142">
        <f t="shared" si="12"/>
        <v>0</v>
      </c>
      <c r="H36" s="142">
        <f t="shared" si="13"/>
        <v>0</v>
      </c>
      <c r="J36" s="69"/>
      <c r="K36" s="69"/>
      <c r="L36" s="71"/>
      <c r="M36" s="71"/>
    </row>
    <row r="37" spans="2:13" hidden="1" outlineLevel="1" x14ac:dyDescent="0.25">
      <c r="B37" s="91"/>
      <c r="C37" s="92"/>
      <c r="D37" s="93"/>
      <c r="E37" s="98"/>
      <c r="F37" s="142">
        <f t="shared" si="11"/>
        <v>0</v>
      </c>
      <c r="G37" s="142">
        <f t="shared" si="12"/>
        <v>0</v>
      </c>
      <c r="H37" s="142">
        <f t="shared" si="13"/>
        <v>0</v>
      </c>
      <c r="J37" s="69"/>
      <c r="K37" s="69"/>
      <c r="L37" s="71"/>
      <c r="M37" s="71"/>
    </row>
    <row r="38" spans="2:13" hidden="1" outlineLevel="1" x14ac:dyDescent="0.25">
      <c r="B38" s="91"/>
      <c r="C38" s="92"/>
      <c r="D38" s="93"/>
      <c r="E38" s="98"/>
      <c r="F38" s="142">
        <f t="shared" si="11"/>
        <v>0</v>
      </c>
      <c r="G38" s="142">
        <f t="shared" si="12"/>
        <v>0</v>
      </c>
      <c r="H38" s="142">
        <f t="shared" si="13"/>
        <v>0</v>
      </c>
      <c r="J38" s="69"/>
      <c r="K38" s="69"/>
      <c r="L38" s="71"/>
      <c r="M38" s="71"/>
    </row>
    <row r="39" spans="2:13" hidden="1" outlineLevel="1" x14ac:dyDescent="0.25">
      <c r="B39" s="91"/>
      <c r="C39" s="92"/>
      <c r="D39" s="93"/>
      <c r="E39" s="98"/>
      <c r="F39" s="142">
        <f t="shared" si="11"/>
        <v>0</v>
      </c>
      <c r="G39" s="142">
        <f t="shared" si="12"/>
        <v>0</v>
      </c>
      <c r="H39" s="142">
        <f t="shared" si="13"/>
        <v>0</v>
      </c>
      <c r="J39" s="69"/>
      <c r="K39" s="69"/>
      <c r="L39" s="71"/>
      <c r="M39" s="71"/>
    </row>
    <row r="40" spans="2:13" hidden="1" outlineLevel="1" x14ac:dyDescent="0.25">
      <c r="B40" s="91"/>
      <c r="C40" s="92"/>
      <c r="D40" s="93"/>
      <c r="E40" s="98"/>
      <c r="F40" s="142">
        <f t="shared" si="11"/>
        <v>0</v>
      </c>
      <c r="G40" s="142">
        <f t="shared" si="12"/>
        <v>0</v>
      </c>
      <c r="H40" s="142">
        <f t="shared" si="13"/>
        <v>0</v>
      </c>
      <c r="J40" s="69"/>
      <c r="K40" s="69"/>
      <c r="L40" s="71"/>
      <c r="M40" s="71"/>
    </row>
    <row r="41" spans="2:13" hidden="1" outlineLevel="1" x14ac:dyDescent="0.25">
      <c r="B41" s="91"/>
      <c r="C41" s="92"/>
      <c r="D41" s="93"/>
      <c r="E41" s="98"/>
      <c r="F41" s="142">
        <f t="shared" si="11"/>
        <v>0</v>
      </c>
      <c r="G41" s="142">
        <f t="shared" si="12"/>
        <v>0</v>
      </c>
      <c r="H41" s="142">
        <f t="shared" si="13"/>
        <v>0</v>
      </c>
      <c r="J41" s="69"/>
      <c r="K41" s="69"/>
      <c r="L41" s="71"/>
      <c r="M41" s="71"/>
    </row>
    <row r="42" spans="2:13" hidden="1" outlineLevel="1" x14ac:dyDescent="0.25">
      <c r="B42" s="91"/>
      <c r="C42" s="92"/>
      <c r="D42" s="93"/>
      <c r="E42" s="98"/>
      <c r="F42" s="142">
        <f t="shared" si="11"/>
        <v>0</v>
      </c>
      <c r="G42" s="142">
        <f t="shared" si="12"/>
        <v>0</v>
      </c>
      <c r="H42" s="142">
        <f t="shared" si="13"/>
        <v>0</v>
      </c>
      <c r="J42" s="69"/>
      <c r="K42" s="69"/>
      <c r="L42" s="71"/>
      <c r="M42" s="71"/>
    </row>
    <row r="43" spans="2:13" hidden="1" outlineLevel="1" x14ac:dyDescent="0.25">
      <c r="B43" s="91"/>
      <c r="C43" s="92"/>
      <c r="D43" s="93"/>
      <c r="E43" s="98"/>
      <c r="F43" s="142">
        <f t="shared" si="11"/>
        <v>0</v>
      </c>
      <c r="G43" s="142">
        <f t="shared" si="12"/>
        <v>0</v>
      </c>
      <c r="H43" s="142">
        <f t="shared" si="13"/>
        <v>0</v>
      </c>
      <c r="J43" s="69"/>
      <c r="K43" s="69"/>
      <c r="L43" s="71"/>
      <c r="M43" s="71"/>
    </row>
    <row r="44" spans="2:13" hidden="1" outlineLevel="1" x14ac:dyDescent="0.25">
      <c r="B44" s="91"/>
      <c r="C44" s="92"/>
      <c r="D44" s="93"/>
      <c r="E44" s="98"/>
      <c r="F44" s="142">
        <f t="shared" si="11"/>
        <v>0</v>
      </c>
      <c r="G44" s="142">
        <f t="shared" si="12"/>
        <v>0</v>
      </c>
      <c r="H44" s="142">
        <f t="shared" si="13"/>
        <v>0</v>
      </c>
      <c r="J44" s="69"/>
      <c r="K44" s="69"/>
      <c r="L44" s="71"/>
      <c r="M44" s="71"/>
    </row>
    <row r="45" spans="2:13" hidden="1" outlineLevel="1" x14ac:dyDescent="0.25">
      <c r="B45" s="91"/>
      <c r="C45" s="92"/>
      <c r="D45" s="93"/>
      <c r="E45" s="98"/>
      <c r="F45" s="142">
        <f t="shared" si="11"/>
        <v>0</v>
      </c>
      <c r="G45" s="142">
        <f t="shared" si="12"/>
        <v>0</v>
      </c>
      <c r="H45" s="142">
        <f t="shared" si="13"/>
        <v>0</v>
      </c>
      <c r="J45" s="69"/>
      <c r="K45" s="69"/>
      <c r="L45" s="71"/>
      <c r="M45" s="71"/>
    </row>
    <row r="46" spans="2:13" hidden="1" outlineLevel="1" x14ac:dyDescent="0.25">
      <c r="B46" s="91"/>
      <c r="C46" s="92"/>
      <c r="D46" s="93"/>
      <c r="E46" s="98"/>
      <c r="F46" s="142">
        <f t="shared" si="11"/>
        <v>0</v>
      </c>
      <c r="G46" s="142">
        <f t="shared" si="12"/>
        <v>0</v>
      </c>
      <c r="H46" s="142">
        <f t="shared" si="13"/>
        <v>0</v>
      </c>
      <c r="J46" s="69"/>
      <c r="K46" s="69"/>
      <c r="L46" s="71"/>
      <c r="M46" s="71"/>
    </row>
    <row r="47" spans="2:13" hidden="1" outlineLevel="1" x14ac:dyDescent="0.25">
      <c r="B47" s="91"/>
      <c r="C47" s="92"/>
      <c r="D47" s="93"/>
      <c r="E47" s="98"/>
      <c r="F47" s="142">
        <f t="shared" si="11"/>
        <v>0</v>
      </c>
      <c r="G47" s="142">
        <f t="shared" si="12"/>
        <v>0</v>
      </c>
      <c r="H47" s="142">
        <f t="shared" si="13"/>
        <v>0</v>
      </c>
      <c r="J47" s="69"/>
      <c r="K47" s="69"/>
      <c r="L47" s="71"/>
      <c r="M47" s="71"/>
    </row>
    <row r="48" spans="2:13" hidden="1" outlineLevel="1" x14ac:dyDescent="0.25">
      <c r="B48" s="91"/>
      <c r="C48" s="92"/>
      <c r="D48" s="93"/>
      <c r="E48" s="98"/>
      <c r="F48" s="142">
        <f t="shared" si="11"/>
        <v>0</v>
      </c>
      <c r="G48" s="142">
        <f t="shared" si="12"/>
        <v>0</v>
      </c>
      <c r="H48" s="142">
        <f t="shared" si="13"/>
        <v>0</v>
      </c>
      <c r="J48" s="69"/>
      <c r="K48" s="69"/>
      <c r="L48" s="71"/>
      <c r="M48" s="71"/>
    </row>
    <row r="49" spans="2:13" hidden="1" outlineLevel="1" x14ac:dyDescent="0.25">
      <c r="B49" s="91"/>
      <c r="C49" s="92"/>
      <c r="D49" s="93"/>
      <c r="E49" s="98"/>
      <c r="F49" s="142">
        <f t="shared" si="11"/>
        <v>0</v>
      </c>
      <c r="G49" s="142">
        <f t="shared" si="12"/>
        <v>0</v>
      </c>
      <c r="H49" s="142">
        <f t="shared" si="13"/>
        <v>0</v>
      </c>
      <c r="J49" s="69"/>
      <c r="K49" s="69"/>
      <c r="L49" s="71"/>
      <c r="M49" s="71"/>
    </row>
    <row r="50" spans="2:13" hidden="1" outlineLevel="1" x14ac:dyDescent="0.25">
      <c r="B50" s="91"/>
      <c r="C50" s="92"/>
      <c r="D50" s="93"/>
      <c r="E50" s="98"/>
      <c r="F50" s="142">
        <f t="shared" si="11"/>
        <v>0</v>
      </c>
      <c r="G50" s="142">
        <f t="shared" si="12"/>
        <v>0</v>
      </c>
      <c r="H50" s="142">
        <f t="shared" si="13"/>
        <v>0</v>
      </c>
      <c r="J50" s="69"/>
      <c r="K50" s="69"/>
      <c r="L50" s="71"/>
      <c r="M50" s="71"/>
    </row>
    <row r="51" spans="2:13" hidden="1" outlineLevel="1" x14ac:dyDescent="0.25">
      <c r="B51" s="91"/>
      <c r="C51" s="92"/>
      <c r="D51" s="93"/>
      <c r="E51" s="98"/>
      <c r="F51" s="142">
        <f t="shared" si="11"/>
        <v>0</v>
      </c>
      <c r="G51" s="142">
        <f t="shared" si="12"/>
        <v>0</v>
      </c>
      <c r="H51" s="142">
        <f t="shared" si="13"/>
        <v>0</v>
      </c>
      <c r="J51" s="69"/>
      <c r="K51" s="69"/>
      <c r="L51" s="71"/>
      <c r="M51" s="71"/>
    </row>
    <row r="52" spans="2:13" hidden="1" outlineLevel="1" x14ac:dyDescent="0.25">
      <c r="B52" s="91"/>
      <c r="C52" s="92"/>
      <c r="D52" s="93"/>
      <c r="E52" s="98"/>
      <c r="F52" s="142">
        <f t="shared" si="11"/>
        <v>0</v>
      </c>
      <c r="G52" s="142">
        <f t="shared" si="12"/>
        <v>0</v>
      </c>
      <c r="H52" s="142">
        <f t="shared" si="13"/>
        <v>0</v>
      </c>
      <c r="J52" s="69"/>
      <c r="K52" s="69"/>
      <c r="L52" s="71"/>
      <c r="M52" s="71"/>
    </row>
    <row r="53" spans="2:13" hidden="1" outlineLevel="1" x14ac:dyDescent="0.25">
      <c r="B53" s="91"/>
      <c r="C53" s="92"/>
      <c r="D53" s="93"/>
      <c r="E53" s="98"/>
      <c r="F53" s="142">
        <f t="shared" si="11"/>
        <v>0</v>
      </c>
      <c r="G53" s="142">
        <f t="shared" si="12"/>
        <v>0</v>
      </c>
      <c r="H53" s="142">
        <f t="shared" si="13"/>
        <v>0</v>
      </c>
      <c r="J53" s="69"/>
      <c r="K53" s="69"/>
      <c r="L53" s="71"/>
      <c r="M53" s="71"/>
    </row>
    <row r="54" spans="2:13" hidden="1" outlineLevel="1" x14ac:dyDescent="0.25">
      <c r="B54" s="91"/>
      <c r="C54" s="92"/>
      <c r="D54" s="93"/>
      <c r="E54" s="98"/>
      <c r="F54" s="142">
        <f t="shared" si="11"/>
        <v>0</v>
      </c>
      <c r="G54" s="142">
        <f t="shared" si="12"/>
        <v>0</v>
      </c>
      <c r="H54" s="142">
        <f t="shared" si="13"/>
        <v>0</v>
      </c>
      <c r="J54" s="69"/>
      <c r="K54" s="69"/>
      <c r="L54" s="71"/>
      <c r="M54" s="71"/>
    </row>
    <row r="55" spans="2:13" hidden="1" outlineLevel="1" x14ac:dyDescent="0.25">
      <c r="B55" s="91"/>
      <c r="C55" s="92"/>
      <c r="D55" s="93"/>
      <c r="E55" s="98"/>
      <c r="F55" s="142">
        <f t="shared" si="11"/>
        <v>0</v>
      </c>
      <c r="G55" s="142">
        <f t="shared" si="12"/>
        <v>0</v>
      </c>
      <c r="H55" s="142">
        <f t="shared" si="13"/>
        <v>0</v>
      </c>
      <c r="J55" s="69"/>
      <c r="K55" s="69"/>
      <c r="L55" s="71"/>
      <c r="M55" s="71"/>
    </row>
    <row r="56" spans="2:13" hidden="1" outlineLevel="1" x14ac:dyDescent="0.25">
      <c r="B56" s="91"/>
      <c r="C56" s="92"/>
      <c r="D56" s="93"/>
      <c r="E56" s="98"/>
      <c r="F56" s="142">
        <f t="shared" si="11"/>
        <v>0</v>
      </c>
      <c r="G56" s="142">
        <f t="shared" si="12"/>
        <v>0</v>
      </c>
      <c r="H56" s="142">
        <f t="shared" si="13"/>
        <v>0</v>
      </c>
      <c r="J56" s="69"/>
      <c r="K56" s="69"/>
      <c r="L56" s="71"/>
      <c r="M56" s="71"/>
    </row>
    <row r="57" spans="2:13" hidden="1" outlineLevel="1" x14ac:dyDescent="0.25">
      <c r="B57" s="91"/>
      <c r="C57" s="92"/>
      <c r="D57" s="93"/>
      <c r="E57" s="98"/>
      <c r="F57" s="142">
        <f t="shared" si="11"/>
        <v>0</v>
      </c>
      <c r="G57" s="142">
        <f t="shared" si="12"/>
        <v>0</v>
      </c>
      <c r="H57" s="142">
        <f t="shared" si="13"/>
        <v>0</v>
      </c>
      <c r="J57" s="69"/>
      <c r="K57" s="69"/>
      <c r="L57" s="71"/>
      <c r="M57" s="71"/>
    </row>
    <row r="58" spans="2:13" hidden="1" outlineLevel="1" x14ac:dyDescent="0.25">
      <c r="B58" s="91"/>
      <c r="C58" s="92"/>
      <c r="D58" s="93"/>
      <c r="E58" s="98"/>
      <c r="F58" s="142">
        <f t="shared" si="11"/>
        <v>0</v>
      </c>
      <c r="G58" s="142">
        <f t="shared" si="12"/>
        <v>0</v>
      </c>
      <c r="H58" s="142">
        <f t="shared" si="13"/>
        <v>0</v>
      </c>
      <c r="J58" s="69"/>
      <c r="K58" s="69"/>
      <c r="L58" s="71"/>
      <c r="M58" s="71"/>
    </row>
    <row r="59" spans="2:13" hidden="1" outlineLevel="1" x14ac:dyDescent="0.25">
      <c r="B59" s="91"/>
      <c r="C59" s="92"/>
      <c r="D59" s="93"/>
      <c r="E59" s="98"/>
      <c r="F59" s="142">
        <f t="shared" si="11"/>
        <v>0</v>
      </c>
      <c r="G59" s="142">
        <f t="shared" si="12"/>
        <v>0</v>
      </c>
      <c r="H59" s="142">
        <f t="shared" si="13"/>
        <v>0</v>
      </c>
      <c r="J59" s="69"/>
      <c r="K59" s="69"/>
      <c r="L59" s="71"/>
      <c r="M59" s="71"/>
    </row>
    <row r="60" spans="2:13" hidden="1" outlineLevel="1" x14ac:dyDescent="0.25">
      <c r="B60" s="91"/>
      <c r="C60" s="92"/>
      <c r="D60" s="93"/>
      <c r="E60" s="98"/>
      <c r="F60" s="142">
        <f t="shared" si="11"/>
        <v>0</v>
      </c>
      <c r="G60" s="142">
        <f t="shared" si="12"/>
        <v>0</v>
      </c>
      <c r="H60" s="142">
        <f t="shared" si="13"/>
        <v>0</v>
      </c>
      <c r="J60" s="69"/>
      <c r="K60" s="69"/>
      <c r="L60" s="71"/>
      <c r="M60" s="71"/>
    </row>
    <row r="61" spans="2:13" hidden="1" outlineLevel="1" x14ac:dyDescent="0.25">
      <c r="B61" s="91"/>
      <c r="C61" s="92"/>
      <c r="D61" s="93"/>
      <c r="E61" s="98"/>
      <c r="F61" s="142">
        <f t="shared" si="11"/>
        <v>0</v>
      </c>
      <c r="G61" s="142">
        <f t="shared" si="12"/>
        <v>0</v>
      </c>
      <c r="H61" s="142">
        <f t="shared" si="13"/>
        <v>0</v>
      </c>
      <c r="J61" s="69"/>
      <c r="K61" s="69"/>
      <c r="L61" s="71"/>
      <c r="M61" s="71"/>
    </row>
    <row r="62" spans="2:13" hidden="1" outlineLevel="1" x14ac:dyDescent="0.25">
      <c r="B62" s="91"/>
      <c r="C62" s="92"/>
      <c r="D62" s="93"/>
      <c r="E62" s="98"/>
      <c r="F62" s="142">
        <f t="shared" si="11"/>
        <v>0</v>
      </c>
      <c r="G62" s="142">
        <f t="shared" si="12"/>
        <v>0</v>
      </c>
      <c r="H62" s="142">
        <f t="shared" si="13"/>
        <v>0</v>
      </c>
      <c r="J62" s="69"/>
      <c r="K62" s="69"/>
      <c r="L62" s="71"/>
      <c r="M62" s="71"/>
    </row>
    <row r="63" spans="2:13" hidden="1" outlineLevel="1" x14ac:dyDescent="0.25">
      <c r="B63" s="91"/>
      <c r="C63" s="92"/>
      <c r="D63" s="93"/>
      <c r="E63" s="98"/>
      <c r="F63" s="142">
        <f t="shared" si="11"/>
        <v>0</v>
      </c>
      <c r="G63" s="142">
        <f t="shared" si="12"/>
        <v>0</v>
      </c>
      <c r="H63" s="142">
        <f t="shared" si="13"/>
        <v>0</v>
      </c>
      <c r="J63" s="69"/>
      <c r="K63" s="69"/>
      <c r="L63" s="71"/>
      <c r="M63" s="71"/>
    </row>
    <row r="64" spans="2:13" hidden="1" outlineLevel="1" x14ac:dyDescent="0.25">
      <c r="B64" s="91"/>
      <c r="C64" s="92"/>
      <c r="D64" s="93"/>
      <c r="E64" s="98"/>
      <c r="F64" s="142">
        <f t="shared" si="11"/>
        <v>0</v>
      </c>
      <c r="G64" s="142">
        <f t="shared" si="12"/>
        <v>0</v>
      </c>
      <c r="H64" s="142">
        <f t="shared" si="13"/>
        <v>0</v>
      </c>
      <c r="J64" s="69"/>
      <c r="K64" s="69"/>
      <c r="L64" s="71"/>
      <c r="M64" s="71"/>
    </row>
    <row r="65" spans="2:13" hidden="1" outlineLevel="1" x14ac:dyDescent="0.25">
      <c r="B65" s="91"/>
      <c r="C65" s="92"/>
      <c r="D65" s="93"/>
      <c r="E65" s="98"/>
      <c r="F65" s="142">
        <f t="shared" si="11"/>
        <v>0</v>
      </c>
      <c r="G65" s="142">
        <f t="shared" si="12"/>
        <v>0</v>
      </c>
      <c r="H65" s="142">
        <f t="shared" si="13"/>
        <v>0</v>
      </c>
      <c r="J65" s="69"/>
      <c r="K65" s="69"/>
      <c r="L65" s="71"/>
      <c r="M65" s="71"/>
    </row>
    <row r="66" spans="2:13" hidden="1" outlineLevel="1" x14ac:dyDescent="0.25">
      <c r="B66" s="91"/>
      <c r="C66" s="92"/>
      <c r="D66" s="93"/>
      <c r="E66" s="98"/>
      <c r="F66" s="142">
        <f t="shared" si="11"/>
        <v>0</v>
      </c>
      <c r="G66" s="142">
        <f t="shared" si="12"/>
        <v>0</v>
      </c>
      <c r="H66" s="142">
        <f t="shared" si="13"/>
        <v>0</v>
      </c>
      <c r="J66" s="69"/>
      <c r="K66" s="69"/>
      <c r="L66" s="71"/>
      <c r="M66" s="71"/>
    </row>
    <row r="67" spans="2:13" hidden="1" outlineLevel="1" x14ac:dyDescent="0.25">
      <c r="B67" s="91"/>
      <c r="C67" s="92"/>
      <c r="D67" s="93"/>
      <c r="E67" s="98"/>
      <c r="F67" s="142">
        <f t="shared" si="11"/>
        <v>0</v>
      </c>
      <c r="G67" s="142">
        <f t="shared" si="12"/>
        <v>0</v>
      </c>
      <c r="H67" s="142">
        <f t="shared" si="13"/>
        <v>0</v>
      </c>
      <c r="J67" s="69"/>
      <c r="K67" s="69"/>
      <c r="L67" s="71"/>
      <c r="M67" s="71"/>
    </row>
    <row r="68" spans="2:13" ht="15.75" hidden="1" outlineLevel="1" thickBot="1" x14ac:dyDescent="0.3">
      <c r="B68" s="94"/>
      <c r="C68" s="95"/>
      <c r="D68" s="96"/>
      <c r="E68" s="99"/>
      <c r="F68" s="143">
        <f t="shared" si="1"/>
        <v>0</v>
      </c>
      <c r="G68" s="143">
        <f t="shared" si="2"/>
        <v>0</v>
      </c>
      <c r="H68" s="143">
        <f t="shared" si="3"/>
        <v>0</v>
      </c>
      <c r="J68" s="72">
        <f t="shared" si="4"/>
        <v>0</v>
      </c>
      <c r="K68" s="72">
        <f t="shared" si="5"/>
        <v>0</v>
      </c>
      <c r="L68" s="73">
        <f t="shared" si="6"/>
        <v>0</v>
      </c>
      <c r="M68" s="73">
        <f t="shared" si="7"/>
        <v>0</v>
      </c>
    </row>
    <row r="69" spans="2:13" ht="15.75" collapsed="1" thickBot="1" x14ac:dyDescent="0.3">
      <c r="B69" s="146"/>
      <c r="C69" s="146"/>
      <c r="D69" s="147"/>
      <c r="E69" s="147"/>
      <c r="F69" s="144">
        <f>SUM(F19:F68)</f>
        <v>6540.7333333333336</v>
      </c>
      <c r="G69" s="144">
        <f>SUM(G19:G68)</f>
        <v>7207.85</v>
      </c>
      <c r="H69" s="144">
        <f>SUM(H19:H68)</f>
        <v>667.1166666666669</v>
      </c>
      <c r="L69" s="74">
        <f>SUM(L19:L68)</f>
        <v>4114.7184000000016</v>
      </c>
      <c r="M69" s="74">
        <f>SUM(M19:M68)</f>
        <v>5115.4116000000013</v>
      </c>
    </row>
    <row r="72" spans="2:13" ht="15.75" thickBot="1" x14ac:dyDescent="0.3">
      <c r="B72" s="64" t="s">
        <v>132</v>
      </c>
    </row>
    <row r="73" spans="2:13" ht="15.75" thickBot="1" x14ac:dyDescent="0.3">
      <c r="B73" s="64" t="s">
        <v>239</v>
      </c>
      <c r="F73" s="180">
        <v>0.03</v>
      </c>
    </row>
    <row r="74" spans="2:13" x14ac:dyDescent="0.25">
      <c r="B74" s="64" t="s">
        <v>123</v>
      </c>
    </row>
    <row r="75" spans="2:13" x14ac:dyDescent="0.25">
      <c r="B75" s="64"/>
    </row>
    <row r="76" spans="2:13" ht="15.75" thickBot="1" x14ac:dyDescent="0.3">
      <c r="D76" s="58"/>
      <c r="E76" s="58"/>
      <c r="F76" s="53" t="s">
        <v>34</v>
      </c>
      <c r="G76" s="53" t="s">
        <v>35</v>
      </c>
      <c r="H76" s="53" t="s">
        <v>47</v>
      </c>
    </row>
    <row r="77" spans="2:13" ht="15.75" thickBot="1" x14ac:dyDescent="0.3">
      <c r="B77" s="62" t="s">
        <v>109</v>
      </c>
      <c r="C77" s="62"/>
      <c r="D77" s="62"/>
      <c r="E77" s="85"/>
      <c r="F77" s="76">
        <f>L69/12</f>
        <v>342.89320000000015</v>
      </c>
      <c r="G77" s="76">
        <f>M69/12</f>
        <v>426.28430000000009</v>
      </c>
      <c r="H77" s="76">
        <f>G77-F77</f>
        <v>83.391099999999938</v>
      </c>
    </row>
    <row r="78" spans="2:13" ht="15.75" thickBot="1" x14ac:dyDescent="0.3">
      <c r="B78" s="62" t="s">
        <v>124</v>
      </c>
      <c r="C78" s="62"/>
      <c r="D78" s="62"/>
      <c r="E78" s="85"/>
      <c r="F78" s="76">
        <f>F69*F73</f>
        <v>196.22200000000001</v>
      </c>
      <c r="G78" s="76">
        <f>G69*F73</f>
        <v>216.2355</v>
      </c>
      <c r="H78" s="76">
        <f>G78-F78</f>
        <v>20.013499999999993</v>
      </c>
    </row>
    <row r="79" spans="2:13" ht="15.75" thickBot="1" x14ac:dyDescent="0.3">
      <c r="B79" s="62"/>
      <c r="C79" s="62"/>
      <c r="D79" s="62"/>
      <c r="E79" s="75"/>
      <c r="F79" s="75"/>
      <c r="G79" s="75"/>
      <c r="H79" s="75"/>
    </row>
    <row r="80" spans="2:13" ht="15.75" thickBot="1" x14ac:dyDescent="0.3">
      <c r="B80" s="82" t="s">
        <v>125</v>
      </c>
      <c r="C80" s="82"/>
      <c r="D80" s="83"/>
      <c r="E80" s="84"/>
      <c r="F80" s="144">
        <f>F69+F77+F78</f>
        <v>7079.8485333333338</v>
      </c>
      <c r="G80" s="144">
        <f t="shared" ref="G80:H80" si="14">G69+G77+G78</f>
        <v>7850.3698000000004</v>
      </c>
      <c r="H80" s="145">
        <f t="shared" si="14"/>
        <v>770.52126666666686</v>
      </c>
    </row>
  </sheetData>
  <sheetProtection sheet="1" objects="1" scenarios="1" formatRows="0"/>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ADF3-5DAE-45C3-9FBE-8DBA81646B89}">
  <dimension ref="B5:M58"/>
  <sheetViews>
    <sheetView showGridLines="0" zoomScale="120" zoomScaleNormal="120" workbookViewId="0">
      <selection activeCell="A4" sqref="A4"/>
    </sheetView>
  </sheetViews>
  <sheetFormatPr defaultColWidth="13.7109375" defaultRowHeight="15" outlineLevelRow="1" x14ac:dyDescent="0.25"/>
  <cols>
    <col min="1" max="1" width="2.7109375" style="187" customWidth="1"/>
    <col min="2" max="16384" width="13.7109375" style="187"/>
  </cols>
  <sheetData>
    <row r="5" spans="2:8" ht="20.25" x14ac:dyDescent="0.3">
      <c r="B5" s="106" t="s">
        <v>141</v>
      </c>
    </row>
    <row r="6" spans="2:8" ht="15" customHeight="1" x14ac:dyDescent="0.3">
      <c r="B6" s="106"/>
    </row>
    <row r="7" spans="2:8" x14ac:dyDescent="0.25">
      <c r="B7" s="187" t="s">
        <v>240</v>
      </c>
    </row>
    <row r="8" spans="2:8" x14ac:dyDescent="0.25">
      <c r="B8" s="187" t="s">
        <v>97</v>
      </c>
    </row>
    <row r="10" spans="2:8" ht="15.75" thickBot="1" x14ac:dyDescent="0.3">
      <c r="F10" s="188" t="s">
        <v>34</v>
      </c>
      <c r="G10" s="188" t="s">
        <v>35</v>
      </c>
    </row>
    <row r="11" spans="2:8" ht="15.75" thickBot="1" x14ac:dyDescent="0.3">
      <c r="B11" s="189" t="s">
        <v>71</v>
      </c>
      <c r="C11" s="189"/>
      <c r="D11" s="189"/>
      <c r="E11" s="190"/>
      <c r="F11" s="191">
        <v>9100</v>
      </c>
      <c r="G11" s="191">
        <v>5000</v>
      </c>
    </row>
    <row r="12" spans="2:8" ht="15.75" thickBot="1" x14ac:dyDescent="0.3">
      <c r="B12" s="189" t="s">
        <v>72</v>
      </c>
      <c r="C12" s="189"/>
      <c r="D12" s="189"/>
      <c r="E12" s="190"/>
      <c r="F12" s="192">
        <v>0.13800000000000001</v>
      </c>
      <c r="G12" s="192">
        <v>0.15</v>
      </c>
    </row>
    <row r="14" spans="2:8" x14ac:dyDescent="0.25">
      <c r="B14" s="193" t="s">
        <v>112</v>
      </c>
      <c r="C14" s="110"/>
      <c r="D14" s="110"/>
      <c r="E14" s="110"/>
      <c r="F14" s="110"/>
      <c r="G14" s="110"/>
      <c r="H14" s="110"/>
    </row>
    <row r="15" spans="2:8" s="113" customFormat="1" ht="15.75" thickBot="1" x14ac:dyDescent="0.3">
      <c r="B15" s="114"/>
    </row>
    <row r="16" spans="2:8" ht="15.75" thickBot="1" x14ac:dyDescent="0.3">
      <c r="B16" s="189" t="s">
        <v>57</v>
      </c>
      <c r="C16" s="189"/>
      <c r="D16" s="100">
        <v>6</v>
      </c>
      <c r="F16" s="189" t="s">
        <v>70</v>
      </c>
      <c r="G16" s="189"/>
      <c r="H16" s="154">
        <v>200000</v>
      </c>
    </row>
    <row r="18" spans="2:13" x14ac:dyDescent="0.25">
      <c r="B18" s="193" t="s">
        <v>241</v>
      </c>
      <c r="C18" s="110"/>
      <c r="D18" s="110"/>
      <c r="E18" s="110"/>
      <c r="F18" s="110"/>
      <c r="G18" s="110"/>
      <c r="H18" s="110"/>
      <c r="I18" s="110"/>
      <c r="J18" s="110"/>
      <c r="K18" s="110"/>
      <c r="L18" s="110"/>
    </row>
    <row r="19" spans="2:13" s="113" customFormat="1" x14ac:dyDescent="0.25">
      <c r="B19" s="194" t="s">
        <v>169</v>
      </c>
      <c r="C19" s="195"/>
      <c r="D19" s="195"/>
      <c r="E19" s="195"/>
      <c r="F19" s="195"/>
      <c r="G19" s="195"/>
      <c r="H19" s="195"/>
      <c r="I19" s="195"/>
      <c r="J19" s="194"/>
      <c r="K19" s="195"/>
      <c r="L19" s="194"/>
      <c r="M19" s="116"/>
    </row>
    <row r="20" spans="2:13" s="113" customFormat="1" x14ac:dyDescent="0.25">
      <c r="B20" s="114"/>
      <c r="J20" s="117"/>
      <c r="K20" s="116"/>
      <c r="L20" s="117"/>
      <c r="M20" s="116"/>
    </row>
    <row r="21" spans="2:13" ht="15.75" thickBot="1" x14ac:dyDescent="0.3">
      <c r="E21" s="118" t="s">
        <v>99</v>
      </c>
      <c r="F21" s="118" t="s">
        <v>98</v>
      </c>
      <c r="G21" s="118" t="s">
        <v>62</v>
      </c>
      <c r="H21" s="118" t="s">
        <v>63</v>
      </c>
      <c r="I21" s="118" t="s">
        <v>106</v>
      </c>
    </row>
    <row r="22" spans="2:13" x14ac:dyDescent="0.25">
      <c r="B22" s="189" t="s">
        <v>58</v>
      </c>
      <c r="C22" s="189"/>
      <c r="D22" s="190"/>
      <c r="E22" s="88" t="s">
        <v>59</v>
      </c>
      <c r="F22" s="155">
        <v>8000</v>
      </c>
      <c r="G22" s="196">
        <f t="shared" ref="G22:H24" si="0">IF($F22&lt;F$11,0,($F22-F$11)*F$12)</f>
        <v>0</v>
      </c>
      <c r="H22" s="196">
        <f t="shared" si="0"/>
        <v>450</v>
      </c>
      <c r="I22" s="196">
        <f>H22-G22</f>
        <v>450</v>
      </c>
    </row>
    <row r="23" spans="2:13" x14ac:dyDescent="0.25">
      <c r="B23" s="189"/>
      <c r="C23" s="189"/>
      <c r="D23" s="190"/>
      <c r="E23" s="91" t="s">
        <v>60</v>
      </c>
      <c r="F23" s="156">
        <v>8000</v>
      </c>
      <c r="G23" s="197">
        <f t="shared" si="0"/>
        <v>0</v>
      </c>
      <c r="H23" s="197">
        <f t="shared" si="0"/>
        <v>450</v>
      </c>
      <c r="I23" s="197">
        <f>H23-G23</f>
        <v>450</v>
      </c>
    </row>
    <row r="24" spans="2:13" x14ac:dyDescent="0.25">
      <c r="B24" s="189"/>
      <c r="C24" s="189"/>
      <c r="D24" s="190"/>
      <c r="E24" s="91" t="s">
        <v>61</v>
      </c>
      <c r="F24" s="156">
        <v>8000</v>
      </c>
      <c r="G24" s="197">
        <f t="shared" si="0"/>
        <v>0</v>
      </c>
      <c r="H24" s="197">
        <f t="shared" si="0"/>
        <v>450</v>
      </c>
      <c r="I24" s="197">
        <f>H24-G24</f>
        <v>450</v>
      </c>
    </row>
    <row r="25" spans="2:13" x14ac:dyDescent="0.25">
      <c r="B25" s="189"/>
      <c r="C25" s="189"/>
      <c r="D25" s="190"/>
      <c r="E25" s="91"/>
      <c r="F25" s="156"/>
      <c r="G25" s="197">
        <f t="shared" ref="G25:G51" si="1">IF($F25&lt;F$11,0,($F25-F$11)*F$12)</f>
        <v>0</v>
      </c>
      <c r="H25" s="197">
        <f t="shared" ref="H25:H51" si="2">IF($F25&lt;G$11,0,($F25-G$11)*G$12)</f>
        <v>0</v>
      </c>
      <c r="I25" s="197">
        <f t="shared" ref="I25:I51" si="3">H25-G25</f>
        <v>0</v>
      </c>
    </row>
    <row r="26" spans="2:13" x14ac:dyDescent="0.25">
      <c r="B26" s="189"/>
      <c r="C26" s="189"/>
      <c r="D26" s="190"/>
      <c r="E26" s="91"/>
      <c r="F26" s="156"/>
      <c r="G26" s="197">
        <f t="shared" si="1"/>
        <v>0</v>
      </c>
      <c r="H26" s="197">
        <f t="shared" si="2"/>
        <v>0</v>
      </c>
      <c r="I26" s="197">
        <f t="shared" si="3"/>
        <v>0</v>
      </c>
    </row>
    <row r="27" spans="2:13" x14ac:dyDescent="0.25">
      <c r="B27" s="189"/>
      <c r="C27" s="189"/>
      <c r="D27" s="190"/>
      <c r="E27" s="91"/>
      <c r="F27" s="156"/>
      <c r="G27" s="197">
        <f t="shared" si="1"/>
        <v>0</v>
      </c>
      <c r="H27" s="197">
        <f t="shared" si="2"/>
        <v>0</v>
      </c>
      <c r="I27" s="197">
        <f t="shared" si="3"/>
        <v>0</v>
      </c>
    </row>
    <row r="28" spans="2:13" x14ac:dyDescent="0.25">
      <c r="B28" s="189"/>
      <c r="C28" s="189"/>
      <c r="D28" s="190"/>
      <c r="E28" s="91"/>
      <c r="F28" s="156"/>
      <c r="G28" s="197">
        <f t="shared" si="1"/>
        <v>0</v>
      </c>
      <c r="H28" s="197">
        <f t="shared" si="2"/>
        <v>0</v>
      </c>
      <c r="I28" s="197">
        <f t="shared" si="3"/>
        <v>0</v>
      </c>
    </row>
    <row r="29" spans="2:13" x14ac:dyDescent="0.25">
      <c r="B29" s="189"/>
      <c r="C29" s="189"/>
      <c r="D29" s="190"/>
      <c r="E29" s="91"/>
      <c r="F29" s="156"/>
      <c r="G29" s="197">
        <f t="shared" si="1"/>
        <v>0</v>
      </c>
      <c r="H29" s="197">
        <f t="shared" si="2"/>
        <v>0</v>
      </c>
      <c r="I29" s="197">
        <f t="shared" si="3"/>
        <v>0</v>
      </c>
    </row>
    <row r="30" spans="2:13" x14ac:dyDescent="0.25">
      <c r="B30" s="189"/>
      <c r="C30" s="189"/>
      <c r="D30" s="190"/>
      <c r="E30" s="91"/>
      <c r="F30" s="156"/>
      <c r="G30" s="197">
        <f t="shared" si="1"/>
        <v>0</v>
      </c>
      <c r="H30" s="197">
        <f t="shared" si="2"/>
        <v>0</v>
      </c>
      <c r="I30" s="197">
        <f t="shared" si="3"/>
        <v>0</v>
      </c>
    </row>
    <row r="31" spans="2:13" ht="15.75" thickBot="1" x14ac:dyDescent="0.3">
      <c r="B31" s="189"/>
      <c r="C31" s="189"/>
      <c r="D31" s="190"/>
      <c r="E31" s="91"/>
      <c r="F31" s="156"/>
      <c r="G31" s="197">
        <f t="shared" si="1"/>
        <v>0</v>
      </c>
      <c r="H31" s="197">
        <f t="shared" si="2"/>
        <v>0</v>
      </c>
      <c r="I31" s="197">
        <f t="shared" si="3"/>
        <v>0</v>
      </c>
    </row>
    <row r="32" spans="2:13" hidden="1" outlineLevel="1" x14ac:dyDescent="0.25">
      <c r="B32" s="189"/>
      <c r="C32" s="189"/>
      <c r="D32" s="190"/>
      <c r="E32" s="91"/>
      <c r="F32" s="156"/>
      <c r="G32" s="197">
        <f t="shared" si="1"/>
        <v>0</v>
      </c>
      <c r="H32" s="197">
        <f t="shared" si="2"/>
        <v>0</v>
      </c>
      <c r="I32" s="197">
        <f t="shared" si="3"/>
        <v>0</v>
      </c>
    </row>
    <row r="33" spans="2:9" hidden="1" outlineLevel="1" x14ac:dyDescent="0.25">
      <c r="B33" s="189"/>
      <c r="C33" s="189"/>
      <c r="D33" s="190"/>
      <c r="E33" s="91"/>
      <c r="F33" s="156"/>
      <c r="G33" s="197">
        <f t="shared" si="1"/>
        <v>0</v>
      </c>
      <c r="H33" s="197">
        <f t="shared" si="2"/>
        <v>0</v>
      </c>
      <c r="I33" s="197">
        <f t="shared" si="3"/>
        <v>0</v>
      </c>
    </row>
    <row r="34" spans="2:9" hidden="1" outlineLevel="1" x14ac:dyDescent="0.25">
      <c r="B34" s="189"/>
      <c r="C34" s="189"/>
      <c r="D34" s="190"/>
      <c r="E34" s="91"/>
      <c r="F34" s="156"/>
      <c r="G34" s="197">
        <f t="shared" si="1"/>
        <v>0</v>
      </c>
      <c r="H34" s="197">
        <f t="shared" si="2"/>
        <v>0</v>
      </c>
      <c r="I34" s="197">
        <f t="shared" si="3"/>
        <v>0</v>
      </c>
    </row>
    <row r="35" spans="2:9" hidden="1" outlineLevel="1" x14ac:dyDescent="0.25">
      <c r="B35" s="189"/>
      <c r="C35" s="189"/>
      <c r="D35" s="190"/>
      <c r="E35" s="91"/>
      <c r="F35" s="156"/>
      <c r="G35" s="197">
        <f t="shared" si="1"/>
        <v>0</v>
      </c>
      <c r="H35" s="197">
        <f t="shared" si="2"/>
        <v>0</v>
      </c>
      <c r="I35" s="197">
        <f t="shared" si="3"/>
        <v>0</v>
      </c>
    </row>
    <row r="36" spans="2:9" hidden="1" outlineLevel="1" x14ac:dyDescent="0.25">
      <c r="B36" s="189"/>
      <c r="C36" s="189"/>
      <c r="D36" s="190"/>
      <c r="E36" s="91"/>
      <c r="F36" s="156"/>
      <c r="G36" s="197">
        <f t="shared" si="1"/>
        <v>0</v>
      </c>
      <c r="H36" s="197">
        <f t="shared" si="2"/>
        <v>0</v>
      </c>
      <c r="I36" s="197">
        <f t="shared" si="3"/>
        <v>0</v>
      </c>
    </row>
    <row r="37" spans="2:9" hidden="1" outlineLevel="1" x14ac:dyDescent="0.25">
      <c r="B37" s="189"/>
      <c r="C37" s="189"/>
      <c r="D37" s="190"/>
      <c r="E37" s="91"/>
      <c r="F37" s="156"/>
      <c r="G37" s="197">
        <f t="shared" si="1"/>
        <v>0</v>
      </c>
      <c r="H37" s="197">
        <f t="shared" si="2"/>
        <v>0</v>
      </c>
      <c r="I37" s="197">
        <f t="shared" si="3"/>
        <v>0</v>
      </c>
    </row>
    <row r="38" spans="2:9" hidden="1" outlineLevel="1" x14ac:dyDescent="0.25">
      <c r="B38" s="189"/>
      <c r="C38" s="189"/>
      <c r="D38" s="190"/>
      <c r="E38" s="91"/>
      <c r="F38" s="156"/>
      <c r="G38" s="197">
        <f t="shared" si="1"/>
        <v>0</v>
      </c>
      <c r="H38" s="197">
        <f t="shared" si="2"/>
        <v>0</v>
      </c>
      <c r="I38" s="197">
        <f t="shared" si="3"/>
        <v>0</v>
      </c>
    </row>
    <row r="39" spans="2:9" hidden="1" outlineLevel="1" x14ac:dyDescent="0.25">
      <c r="B39" s="189"/>
      <c r="C39" s="189"/>
      <c r="D39" s="190"/>
      <c r="E39" s="91"/>
      <c r="F39" s="156"/>
      <c r="G39" s="197">
        <f t="shared" si="1"/>
        <v>0</v>
      </c>
      <c r="H39" s="197">
        <f t="shared" si="2"/>
        <v>0</v>
      </c>
      <c r="I39" s="197">
        <f t="shared" si="3"/>
        <v>0</v>
      </c>
    </row>
    <row r="40" spans="2:9" hidden="1" outlineLevel="1" x14ac:dyDescent="0.25">
      <c r="B40" s="189"/>
      <c r="C40" s="189"/>
      <c r="D40" s="190"/>
      <c r="E40" s="91"/>
      <c r="F40" s="156"/>
      <c r="G40" s="197">
        <f t="shared" si="1"/>
        <v>0</v>
      </c>
      <c r="H40" s="197">
        <f t="shared" si="2"/>
        <v>0</v>
      </c>
      <c r="I40" s="197">
        <f t="shared" si="3"/>
        <v>0</v>
      </c>
    </row>
    <row r="41" spans="2:9" hidden="1" outlineLevel="1" x14ac:dyDescent="0.25">
      <c r="B41" s="189"/>
      <c r="C41" s="189"/>
      <c r="D41" s="190"/>
      <c r="E41" s="91"/>
      <c r="F41" s="156"/>
      <c r="G41" s="197">
        <f t="shared" si="1"/>
        <v>0</v>
      </c>
      <c r="H41" s="197">
        <f t="shared" si="2"/>
        <v>0</v>
      </c>
      <c r="I41" s="197">
        <f t="shared" si="3"/>
        <v>0</v>
      </c>
    </row>
    <row r="42" spans="2:9" hidden="1" outlineLevel="1" x14ac:dyDescent="0.25">
      <c r="B42" s="189"/>
      <c r="C42" s="189"/>
      <c r="D42" s="190"/>
      <c r="E42" s="91"/>
      <c r="F42" s="156"/>
      <c r="G42" s="197">
        <f t="shared" si="1"/>
        <v>0</v>
      </c>
      <c r="H42" s="197">
        <f t="shared" si="2"/>
        <v>0</v>
      </c>
      <c r="I42" s="197">
        <f t="shared" si="3"/>
        <v>0</v>
      </c>
    </row>
    <row r="43" spans="2:9" hidden="1" outlineLevel="1" x14ac:dyDescent="0.25">
      <c r="B43" s="189"/>
      <c r="C43" s="189"/>
      <c r="D43" s="190"/>
      <c r="E43" s="91"/>
      <c r="F43" s="156"/>
      <c r="G43" s="197">
        <f t="shared" si="1"/>
        <v>0</v>
      </c>
      <c r="H43" s="197">
        <f t="shared" si="2"/>
        <v>0</v>
      </c>
      <c r="I43" s="197">
        <f t="shared" si="3"/>
        <v>0</v>
      </c>
    </row>
    <row r="44" spans="2:9" hidden="1" outlineLevel="1" x14ac:dyDescent="0.25">
      <c r="B44" s="189"/>
      <c r="C44" s="189"/>
      <c r="D44" s="190"/>
      <c r="E44" s="91"/>
      <c r="F44" s="156"/>
      <c r="G44" s="197">
        <f t="shared" si="1"/>
        <v>0</v>
      </c>
      <c r="H44" s="197">
        <f t="shared" si="2"/>
        <v>0</v>
      </c>
      <c r="I44" s="197">
        <f t="shared" si="3"/>
        <v>0</v>
      </c>
    </row>
    <row r="45" spans="2:9" hidden="1" outlineLevel="1" x14ac:dyDescent="0.25">
      <c r="B45" s="189"/>
      <c r="C45" s="189"/>
      <c r="D45" s="190"/>
      <c r="E45" s="91"/>
      <c r="F45" s="156"/>
      <c r="G45" s="197">
        <f t="shared" si="1"/>
        <v>0</v>
      </c>
      <c r="H45" s="197">
        <f t="shared" si="2"/>
        <v>0</v>
      </c>
      <c r="I45" s="197">
        <f t="shared" si="3"/>
        <v>0</v>
      </c>
    </row>
    <row r="46" spans="2:9" hidden="1" outlineLevel="1" x14ac:dyDescent="0.25">
      <c r="B46" s="189"/>
      <c r="C46" s="189"/>
      <c r="D46" s="190"/>
      <c r="E46" s="91"/>
      <c r="F46" s="156"/>
      <c r="G46" s="197">
        <f t="shared" si="1"/>
        <v>0</v>
      </c>
      <c r="H46" s="197">
        <f t="shared" si="2"/>
        <v>0</v>
      </c>
      <c r="I46" s="197">
        <f t="shared" si="3"/>
        <v>0</v>
      </c>
    </row>
    <row r="47" spans="2:9" hidden="1" outlineLevel="1" x14ac:dyDescent="0.25">
      <c r="B47" s="189"/>
      <c r="C47" s="189"/>
      <c r="D47" s="190"/>
      <c r="E47" s="91"/>
      <c r="F47" s="156"/>
      <c r="G47" s="197">
        <f t="shared" si="1"/>
        <v>0</v>
      </c>
      <c r="H47" s="197">
        <f t="shared" si="2"/>
        <v>0</v>
      </c>
      <c r="I47" s="197">
        <f t="shared" si="3"/>
        <v>0</v>
      </c>
    </row>
    <row r="48" spans="2:9" hidden="1" outlineLevel="1" x14ac:dyDescent="0.25">
      <c r="B48" s="189"/>
      <c r="C48" s="189"/>
      <c r="D48" s="190"/>
      <c r="E48" s="91"/>
      <c r="F48" s="156"/>
      <c r="G48" s="197">
        <f t="shared" si="1"/>
        <v>0</v>
      </c>
      <c r="H48" s="197">
        <f t="shared" si="2"/>
        <v>0</v>
      </c>
      <c r="I48" s="197">
        <f t="shared" si="3"/>
        <v>0</v>
      </c>
    </row>
    <row r="49" spans="2:9" hidden="1" outlineLevel="1" x14ac:dyDescent="0.25">
      <c r="B49" s="189"/>
      <c r="C49" s="189"/>
      <c r="D49" s="190"/>
      <c r="E49" s="91"/>
      <c r="F49" s="156"/>
      <c r="G49" s="197">
        <f t="shared" si="1"/>
        <v>0</v>
      </c>
      <c r="H49" s="197">
        <f t="shared" si="2"/>
        <v>0</v>
      </c>
      <c r="I49" s="197">
        <f t="shared" si="3"/>
        <v>0</v>
      </c>
    </row>
    <row r="50" spans="2:9" hidden="1" outlineLevel="1" x14ac:dyDescent="0.25">
      <c r="B50" s="189"/>
      <c r="C50" s="189"/>
      <c r="D50" s="190"/>
      <c r="E50" s="91"/>
      <c r="F50" s="156"/>
      <c r="G50" s="197">
        <f t="shared" si="1"/>
        <v>0</v>
      </c>
      <c r="H50" s="197">
        <f t="shared" si="2"/>
        <v>0</v>
      </c>
      <c r="I50" s="197">
        <f t="shared" si="3"/>
        <v>0</v>
      </c>
    </row>
    <row r="51" spans="2:9" ht="15.75" hidden="1" outlineLevel="1" thickBot="1" x14ac:dyDescent="0.3">
      <c r="B51" s="189"/>
      <c r="C51" s="189"/>
      <c r="D51" s="190"/>
      <c r="E51" s="94"/>
      <c r="F51" s="157"/>
      <c r="G51" s="197">
        <f t="shared" si="1"/>
        <v>0</v>
      </c>
      <c r="H51" s="197">
        <f t="shared" si="2"/>
        <v>0</v>
      </c>
      <c r="I51" s="197">
        <f t="shared" si="3"/>
        <v>0</v>
      </c>
    </row>
    <row r="52" spans="2:9" ht="15.75" collapsed="1" thickBot="1" x14ac:dyDescent="0.3">
      <c r="B52" s="189"/>
      <c r="C52" s="189"/>
      <c r="D52" s="189"/>
      <c r="E52" s="198"/>
      <c r="F52" s="199"/>
      <c r="G52" s="200">
        <f>SUM(G22:G51)</f>
        <v>0</v>
      </c>
      <c r="H52" s="200">
        <f t="shared" ref="H52:I52" si="4">SUM(H22:H51)</f>
        <v>1350</v>
      </c>
      <c r="I52" s="200">
        <f t="shared" si="4"/>
        <v>1350</v>
      </c>
    </row>
    <row r="54" spans="2:9" x14ac:dyDescent="0.25">
      <c r="B54" s="201" t="s">
        <v>103</v>
      </c>
    </row>
    <row r="55" spans="2:9" ht="15.75" thickBot="1" x14ac:dyDescent="0.3">
      <c r="E55" s="118" t="s">
        <v>101</v>
      </c>
      <c r="F55" s="118" t="s">
        <v>102</v>
      </c>
      <c r="G55" s="118" t="s">
        <v>62</v>
      </c>
      <c r="H55" s="118" t="s">
        <v>63</v>
      </c>
      <c r="I55" s="118" t="s">
        <v>47</v>
      </c>
    </row>
    <row r="56" spans="2:9" ht="15.75" thickBot="1" x14ac:dyDescent="0.3">
      <c r="B56" s="189" t="s">
        <v>100</v>
      </c>
      <c r="C56" s="189"/>
      <c r="D56" s="189"/>
      <c r="E56" s="202">
        <v>3</v>
      </c>
      <c r="F56" s="191">
        <f>H16-SUM(F22:F52)</f>
        <v>176000</v>
      </c>
      <c r="G56" s="191">
        <f>($F56-($E56*F$11))*F$12</f>
        <v>20520.600000000002</v>
      </c>
      <c r="H56" s="191">
        <f>($F56-($E56*G$11))*G$12</f>
        <v>24150</v>
      </c>
      <c r="I56" s="191">
        <f>H56-G56</f>
        <v>3629.3999999999978</v>
      </c>
    </row>
    <row r="57" spans="2:9" ht="15.75" thickBot="1" x14ac:dyDescent="0.3">
      <c r="B57" s="189"/>
      <c r="C57" s="189"/>
      <c r="D57" s="189"/>
      <c r="E57" s="189"/>
      <c r="F57" s="203"/>
      <c r="G57" s="203"/>
      <c r="H57" s="203"/>
      <c r="I57" s="203"/>
    </row>
    <row r="58" spans="2:9" ht="15.75" thickBot="1" x14ac:dyDescent="0.3">
      <c r="B58" s="204" t="s">
        <v>64</v>
      </c>
      <c r="C58" s="204"/>
      <c r="D58" s="204"/>
      <c r="E58" s="205"/>
      <c r="F58" s="206"/>
      <c r="G58" s="200">
        <f>G52+G56</f>
        <v>20520.600000000002</v>
      </c>
      <c r="H58" s="200">
        <f t="shared" ref="H58:I58" si="5">H52+H56</f>
        <v>25500</v>
      </c>
      <c r="I58" s="200">
        <f t="shared" si="5"/>
        <v>4979.3999999999978</v>
      </c>
    </row>
  </sheetData>
  <sheetProtection sheet="1" objects="1" scenarios="1" formatRows="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40D4-2DAE-4F3D-B3B9-F92FD1DAFD41}">
  <dimension ref="B5:J63"/>
  <sheetViews>
    <sheetView showGridLines="0" zoomScale="120" zoomScaleNormal="120" workbookViewId="0">
      <selection activeCell="A4" sqref="A4"/>
    </sheetView>
  </sheetViews>
  <sheetFormatPr defaultColWidth="11.7109375" defaultRowHeight="15" outlineLevelRow="1" x14ac:dyDescent="0.25"/>
  <cols>
    <col min="1" max="1" width="2.7109375" style="49" customWidth="1"/>
    <col min="2" max="2" width="33.7109375" style="49" customWidth="1"/>
    <col min="3" max="5" width="13.7109375" style="49" customWidth="1"/>
    <col min="6" max="16384" width="11.7109375" style="49"/>
  </cols>
  <sheetData>
    <row r="5" spans="2:10" ht="20.25" x14ac:dyDescent="0.3">
      <c r="B5" s="55" t="s">
        <v>105</v>
      </c>
    </row>
    <row r="6" spans="2:10" ht="15" customHeight="1" x14ac:dyDescent="0.3">
      <c r="B6" s="55"/>
    </row>
    <row r="7" spans="2:10" x14ac:dyDescent="0.25">
      <c r="B7" s="80" t="s">
        <v>142</v>
      </c>
      <c r="C7" s="80"/>
      <c r="D7" s="80"/>
      <c r="E7" s="80"/>
    </row>
    <row r="8" spans="2:10" x14ac:dyDescent="0.25">
      <c r="B8" s="148" t="s">
        <v>170</v>
      </c>
      <c r="C8" s="149"/>
      <c r="D8" s="149"/>
      <c r="E8" s="149"/>
      <c r="F8" s="149"/>
      <c r="G8" s="149"/>
      <c r="H8" s="149"/>
      <c r="I8" s="149"/>
      <c r="J8" s="59"/>
    </row>
    <row r="9" spans="2:10" x14ac:dyDescent="0.25">
      <c r="B9" s="64"/>
    </row>
    <row r="10" spans="2:10" x14ac:dyDescent="0.25">
      <c r="C10" s="208" t="s">
        <v>69</v>
      </c>
      <c r="D10" s="208"/>
      <c r="E10" s="208"/>
    </row>
    <row r="11" spans="2:10" ht="15.75" thickBot="1" x14ac:dyDescent="0.3">
      <c r="C11" s="54" t="s">
        <v>34</v>
      </c>
      <c r="D11" s="54" t="s">
        <v>35</v>
      </c>
      <c r="E11" s="54" t="s">
        <v>106</v>
      </c>
    </row>
    <row r="12" spans="2:10" ht="15.75" thickBot="1" x14ac:dyDescent="0.3">
      <c r="B12" s="103" t="s">
        <v>33</v>
      </c>
      <c r="C12" s="154">
        <v>10000</v>
      </c>
      <c r="D12" s="154">
        <v>12000</v>
      </c>
      <c r="E12" s="158">
        <f>D12-C12</f>
        <v>2000</v>
      </c>
    </row>
    <row r="13" spans="2:10" ht="15.75" thickBot="1" x14ac:dyDescent="0.3">
      <c r="B13" s="103" t="s">
        <v>54</v>
      </c>
      <c r="C13" s="154">
        <v>5000</v>
      </c>
      <c r="D13" s="154">
        <v>6000</v>
      </c>
      <c r="E13" s="158">
        <f>D13-C13</f>
        <v>1000</v>
      </c>
    </row>
    <row r="14" spans="2:10" ht="15.75" thickBot="1" x14ac:dyDescent="0.3">
      <c r="B14" s="103" t="s">
        <v>104</v>
      </c>
      <c r="C14" s="154">
        <v>5000</v>
      </c>
      <c r="D14" s="154">
        <v>6000</v>
      </c>
      <c r="E14" s="158">
        <f t="shared" ref="E14" si="0">D14-C14</f>
        <v>1000</v>
      </c>
    </row>
    <row r="15" spans="2:10" ht="15.75" thickBot="1" x14ac:dyDescent="0.3">
      <c r="B15" s="103"/>
      <c r="C15" s="154"/>
      <c r="D15" s="154"/>
      <c r="E15" s="158">
        <f t="shared" ref="E15:E61" si="1">D15-C15</f>
        <v>0</v>
      </c>
    </row>
    <row r="16" spans="2:10" ht="15.75" thickBot="1" x14ac:dyDescent="0.3">
      <c r="B16" s="103"/>
      <c r="C16" s="154"/>
      <c r="D16" s="154"/>
      <c r="E16" s="158">
        <f t="shared" si="1"/>
        <v>0</v>
      </c>
    </row>
    <row r="17" spans="2:5" ht="15.75" thickBot="1" x14ac:dyDescent="0.3">
      <c r="B17" s="103"/>
      <c r="C17" s="154"/>
      <c r="D17" s="154"/>
      <c r="E17" s="158">
        <f t="shared" si="1"/>
        <v>0</v>
      </c>
    </row>
    <row r="18" spans="2:5" ht="15.75" thickBot="1" x14ac:dyDescent="0.3">
      <c r="B18" s="103"/>
      <c r="C18" s="154"/>
      <c r="D18" s="154"/>
      <c r="E18" s="158">
        <f t="shared" si="1"/>
        <v>0</v>
      </c>
    </row>
    <row r="19" spans="2:5" ht="15.75" thickBot="1" x14ac:dyDescent="0.3">
      <c r="B19" s="103"/>
      <c r="C19" s="154"/>
      <c r="D19" s="154"/>
      <c r="E19" s="158">
        <f t="shared" si="1"/>
        <v>0</v>
      </c>
    </row>
    <row r="20" spans="2:5" ht="15.75" thickBot="1" x14ac:dyDescent="0.3">
      <c r="B20" s="103"/>
      <c r="C20" s="154"/>
      <c r="D20" s="154"/>
      <c r="E20" s="158">
        <f t="shared" si="1"/>
        <v>0</v>
      </c>
    </row>
    <row r="21" spans="2:5" ht="15.75" thickBot="1" x14ac:dyDescent="0.3">
      <c r="B21" s="103"/>
      <c r="C21" s="154"/>
      <c r="D21" s="154"/>
      <c r="E21" s="158">
        <f t="shared" si="1"/>
        <v>0</v>
      </c>
    </row>
    <row r="22" spans="2:5" ht="15.75" hidden="1" outlineLevel="1" thickBot="1" x14ac:dyDescent="0.3">
      <c r="B22" s="103"/>
      <c r="C22" s="154"/>
      <c r="D22" s="154"/>
      <c r="E22" s="158">
        <f t="shared" si="1"/>
        <v>0</v>
      </c>
    </row>
    <row r="23" spans="2:5" ht="15.75" hidden="1" outlineLevel="1" thickBot="1" x14ac:dyDescent="0.3">
      <c r="B23" s="103"/>
      <c r="C23" s="154"/>
      <c r="D23" s="154"/>
      <c r="E23" s="158">
        <f t="shared" si="1"/>
        <v>0</v>
      </c>
    </row>
    <row r="24" spans="2:5" ht="15.75" hidden="1" outlineLevel="1" thickBot="1" x14ac:dyDescent="0.3">
      <c r="B24" s="103"/>
      <c r="C24" s="154"/>
      <c r="D24" s="154"/>
      <c r="E24" s="158">
        <f t="shared" si="1"/>
        <v>0</v>
      </c>
    </row>
    <row r="25" spans="2:5" ht="15.75" hidden="1" outlineLevel="1" thickBot="1" x14ac:dyDescent="0.3">
      <c r="B25" s="103"/>
      <c r="C25" s="154"/>
      <c r="D25" s="154"/>
      <c r="E25" s="158">
        <f t="shared" si="1"/>
        <v>0</v>
      </c>
    </row>
    <row r="26" spans="2:5" ht="15.75" hidden="1" outlineLevel="1" thickBot="1" x14ac:dyDescent="0.3">
      <c r="B26" s="103"/>
      <c r="C26" s="154"/>
      <c r="D26" s="154"/>
      <c r="E26" s="158">
        <f t="shared" si="1"/>
        <v>0</v>
      </c>
    </row>
    <row r="27" spans="2:5" ht="15.75" hidden="1" outlineLevel="1" thickBot="1" x14ac:dyDescent="0.3">
      <c r="B27" s="103"/>
      <c r="C27" s="154"/>
      <c r="D27" s="154"/>
      <c r="E27" s="158">
        <f t="shared" si="1"/>
        <v>0</v>
      </c>
    </row>
    <row r="28" spans="2:5" ht="15.75" hidden="1" outlineLevel="1" thickBot="1" x14ac:dyDescent="0.3">
      <c r="B28" s="103"/>
      <c r="C28" s="154"/>
      <c r="D28" s="154"/>
      <c r="E28" s="158">
        <f t="shared" si="1"/>
        <v>0</v>
      </c>
    </row>
    <row r="29" spans="2:5" ht="15.75" hidden="1" outlineLevel="1" thickBot="1" x14ac:dyDescent="0.3">
      <c r="B29" s="103"/>
      <c r="C29" s="154"/>
      <c r="D29" s="154"/>
      <c r="E29" s="158">
        <f t="shared" si="1"/>
        <v>0</v>
      </c>
    </row>
    <row r="30" spans="2:5" ht="15.75" hidden="1" outlineLevel="1" thickBot="1" x14ac:dyDescent="0.3">
      <c r="B30" s="103"/>
      <c r="C30" s="154"/>
      <c r="D30" s="154"/>
      <c r="E30" s="158">
        <f t="shared" si="1"/>
        <v>0</v>
      </c>
    </row>
    <row r="31" spans="2:5" ht="15.75" hidden="1" outlineLevel="1" thickBot="1" x14ac:dyDescent="0.3">
      <c r="B31" s="103"/>
      <c r="C31" s="154"/>
      <c r="D31" s="154"/>
      <c r="E31" s="158">
        <f t="shared" si="1"/>
        <v>0</v>
      </c>
    </row>
    <row r="32" spans="2:5" ht="15.75" hidden="1" outlineLevel="1" thickBot="1" x14ac:dyDescent="0.3">
      <c r="B32" s="103"/>
      <c r="C32" s="154"/>
      <c r="D32" s="154"/>
      <c r="E32" s="158">
        <f t="shared" si="1"/>
        <v>0</v>
      </c>
    </row>
    <row r="33" spans="2:5" ht="15.75" hidden="1" outlineLevel="1" thickBot="1" x14ac:dyDescent="0.3">
      <c r="B33" s="103"/>
      <c r="C33" s="154"/>
      <c r="D33" s="154"/>
      <c r="E33" s="158">
        <f t="shared" si="1"/>
        <v>0</v>
      </c>
    </row>
    <row r="34" spans="2:5" ht="15.75" hidden="1" outlineLevel="1" thickBot="1" x14ac:dyDescent="0.3">
      <c r="B34" s="103"/>
      <c r="C34" s="154"/>
      <c r="D34" s="154"/>
      <c r="E34" s="158">
        <f t="shared" si="1"/>
        <v>0</v>
      </c>
    </row>
    <row r="35" spans="2:5" ht="15.75" hidden="1" outlineLevel="1" thickBot="1" x14ac:dyDescent="0.3">
      <c r="B35" s="103"/>
      <c r="C35" s="154"/>
      <c r="D35" s="154"/>
      <c r="E35" s="158">
        <f t="shared" si="1"/>
        <v>0</v>
      </c>
    </row>
    <row r="36" spans="2:5" ht="15.75" hidden="1" outlineLevel="1" thickBot="1" x14ac:dyDescent="0.3">
      <c r="B36" s="103"/>
      <c r="C36" s="154"/>
      <c r="D36" s="154"/>
      <c r="E36" s="158">
        <f t="shared" si="1"/>
        <v>0</v>
      </c>
    </row>
    <row r="37" spans="2:5" ht="15.75" hidden="1" outlineLevel="1" thickBot="1" x14ac:dyDescent="0.3">
      <c r="B37" s="103"/>
      <c r="C37" s="154"/>
      <c r="D37" s="154"/>
      <c r="E37" s="158">
        <f t="shared" si="1"/>
        <v>0</v>
      </c>
    </row>
    <row r="38" spans="2:5" ht="15.75" hidden="1" outlineLevel="1" thickBot="1" x14ac:dyDescent="0.3">
      <c r="B38" s="103"/>
      <c r="C38" s="154"/>
      <c r="D38" s="154"/>
      <c r="E38" s="158">
        <f t="shared" si="1"/>
        <v>0</v>
      </c>
    </row>
    <row r="39" spans="2:5" ht="15.75" hidden="1" outlineLevel="1" thickBot="1" x14ac:dyDescent="0.3">
      <c r="B39" s="103"/>
      <c r="C39" s="154"/>
      <c r="D39" s="154"/>
      <c r="E39" s="158">
        <f t="shared" si="1"/>
        <v>0</v>
      </c>
    </row>
    <row r="40" spans="2:5" ht="15.75" hidden="1" outlineLevel="1" thickBot="1" x14ac:dyDescent="0.3">
      <c r="B40" s="103"/>
      <c r="C40" s="154"/>
      <c r="D40" s="154"/>
      <c r="E40" s="158">
        <f t="shared" si="1"/>
        <v>0</v>
      </c>
    </row>
    <row r="41" spans="2:5" ht="15.75" hidden="1" outlineLevel="1" thickBot="1" x14ac:dyDescent="0.3">
      <c r="B41" s="103"/>
      <c r="C41" s="154"/>
      <c r="D41" s="154"/>
      <c r="E41" s="158">
        <f t="shared" si="1"/>
        <v>0</v>
      </c>
    </row>
    <row r="42" spans="2:5" ht="15.75" hidden="1" outlineLevel="1" thickBot="1" x14ac:dyDescent="0.3">
      <c r="B42" s="103"/>
      <c r="C42" s="154"/>
      <c r="D42" s="154"/>
      <c r="E42" s="158">
        <f t="shared" si="1"/>
        <v>0</v>
      </c>
    </row>
    <row r="43" spans="2:5" ht="15.75" hidden="1" outlineLevel="1" thickBot="1" x14ac:dyDescent="0.3">
      <c r="B43" s="103"/>
      <c r="C43" s="154"/>
      <c r="D43" s="154"/>
      <c r="E43" s="158">
        <f t="shared" si="1"/>
        <v>0</v>
      </c>
    </row>
    <row r="44" spans="2:5" ht="15.75" hidden="1" outlineLevel="1" thickBot="1" x14ac:dyDescent="0.3">
      <c r="B44" s="103"/>
      <c r="C44" s="154"/>
      <c r="D44" s="154"/>
      <c r="E44" s="158">
        <f t="shared" si="1"/>
        <v>0</v>
      </c>
    </row>
    <row r="45" spans="2:5" ht="15.75" hidden="1" outlineLevel="1" thickBot="1" x14ac:dyDescent="0.3">
      <c r="B45" s="103"/>
      <c r="C45" s="154"/>
      <c r="D45" s="154"/>
      <c r="E45" s="158">
        <f t="shared" si="1"/>
        <v>0</v>
      </c>
    </row>
    <row r="46" spans="2:5" ht="15.75" hidden="1" outlineLevel="1" thickBot="1" x14ac:dyDescent="0.3">
      <c r="B46" s="103"/>
      <c r="C46" s="154"/>
      <c r="D46" s="154"/>
      <c r="E46" s="158">
        <f t="shared" si="1"/>
        <v>0</v>
      </c>
    </row>
    <row r="47" spans="2:5" ht="15.75" hidden="1" outlineLevel="1" thickBot="1" x14ac:dyDescent="0.3">
      <c r="B47" s="103"/>
      <c r="C47" s="154"/>
      <c r="D47" s="154"/>
      <c r="E47" s="158">
        <f t="shared" si="1"/>
        <v>0</v>
      </c>
    </row>
    <row r="48" spans="2:5" ht="15.75" hidden="1" outlineLevel="1" thickBot="1" x14ac:dyDescent="0.3">
      <c r="B48" s="103"/>
      <c r="C48" s="154"/>
      <c r="D48" s="154"/>
      <c r="E48" s="158">
        <f t="shared" si="1"/>
        <v>0</v>
      </c>
    </row>
    <row r="49" spans="2:5" ht="15.75" hidden="1" outlineLevel="1" thickBot="1" x14ac:dyDescent="0.3">
      <c r="B49" s="103"/>
      <c r="C49" s="154"/>
      <c r="D49" s="154"/>
      <c r="E49" s="158">
        <f t="shared" si="1"/>
        <v>0</v>
      </c>
    </row>
    <row r="50" spans="2:5" ht="15.75" hidden="1" outlineLevel="1" thickBot="1" x14ac:dyDescent="0.3">
      <c r="B50" s="103"/>
      <c r="C50" s="154"/>
      <c r="D50" s="154"/>
      <c r="E50" s="158">
        <f t="shared" si="1"/>
        <v>0</v>
      </c>
    </row>
    <row r="51" spans="2:5" ht="15.75" hidden="1" outlineLevel="1" thickBot="1" x14ac:dyDescent="0.3">
      <c r="B51" s="103"/>
      <c r="C51" s="154"/>
      <c r="D51" s="154"/>
      <c r="E51" s="158">
        <f t="shared" si="1"/>
        <v>0</v>
      </c>
    </row>
    <row r="52" spans="2:5" ht="15.75" hidden="1" outlineLevel="1" thickBot="1" x14ac:dyDescent="0.3">
      <c r="B52" s="103"/>
      <c r="C52" s="154"/>
      <c r="D52" s="154"/>
      <c r="E52" s="158">
        <f t="shared" si="1"/>
        <v>0</v>
      </c>
    </row>
    <row r="53" spans="2:5" ht="15.75" hidden="1" outlineLevel="1" thickBot="1" x14ac:dyDescent="0.3">
      <c r="B53" s="103"/>
      <c r="C53" s="154"/>
      <c r="D53" s="154"/>
      <c r="E53" s="158">
        <f t="shared" si="1"/>
        <v>0</v>
      </c>
    </row>
    <row r="54" spans="2:5" ht="15.75" hidden="1" outlineLevel="1" thickBot="1" x14ac:dyDescent="0.3">
      <c r="B54" s="103"/>
      <c r="C54" s="154"/>
      <c r="D54" s="154"/>
      <c r="E54" s="158">
        <f t="shared" si="1"/>
        <v>0</v>
      </c>
    </row>
    <row r="55" spans="2:5" ht="15.75" hidden="1" outlineLevel="1" thickBot="1" x14ac:dyDescent="0.3">
      <c r="B55" s="103"/>
      <c r="C55" s="154"/>
      <c r="D55" s="154"/>
      <c r="E55" s="158">
        <f t="shared" si="1"/>
        <v>0</v>
      </c>
    </row>
    <row r="56" spans="2:5" ht="15.75" hidden="1" outlineLevel="1" thickBot="1" x14ac:dyDescent="0.3">
      <c r="B56" s="103"/>
      <c r="C56" s="154"/>
      <c r="D56" s="154"/>
      <c r="E56" s="158">
        <f t="shared" si="1"/>
        <v>0</v>
      </c>
    </row>
    <row r="57" spans="2:5" ht="15.75" hidden="1" outlineLevel="1" thickBot="1" x14ac:dyDescent="0.3">
      <c r="B57" s="103"/>
      <c r="C57" s="154"/>
      <c r="D57" s="154"/>
      <c r="E57" s="158">
        <f t="shared" si="1"/>
        <v>0</v>
      </c>
    </row>
    <row r="58" spans="2:5" ht="15.75" hidden="1" outlineLevel="1" thickBot="1" x14ac:dyDescent="0.3">
      <c r="B58" s="103"/>
      <c r="C58" s="154"/>
      <c r="D58" s="154"/>
      <c r="E58" s="158">
        <f t="shared" si="1"/>
        <v>0</v>
      </c>
    </row>
    <row r="59" spans="2:5" ht="15.75" hidden="1" outlineLevel="1" thickBot="1" x14ac:dyDescent="0.3">
      <c r="B59" s="103"/>
      <c r="C59" s="154"/>
      <c r="D59" s="154"/>
      <c r="E59" s="158">
        <f t="shared" si="1"/>
        <v>0</v>
      </c>
    </row>
    <row r="60" spans="2:5" ht="15.75" hidden="1" outlineLevel="1" thickBot="1" x14ac:dyDescent="0.3">
      <c r="B60" s="103"/>
      <c r="C60" s="154"/>
      <c r="D60" s="154"/>
      <c r="E60" s="158">
        <f t="shared" si="1"/>
        <v>0</v>
      </c>
    </row>
    <row r="61" spans="2:5" ht="15.75" hidden="1" outlineLevel="1" thickBot="1" x14ac:dyDescent="0.3">
      <c r="B61" s="103"/>
      <c r="C61" s="154"/>
      <c r="D61" s="154"/>
      <c r="E61" s="158">
        <f t="shared" si="1"/>
        <v>0</v>
      </c>
    </row>
    <row r="62" spans="2:5" ht="15.75" collapsed="1" thickBot="1" x14ac:dyDescent="0.3">
      <c r="B62" s="102" t="s">
        <v>67</v>
      </c>
      <c r="C62" s="144">
        <f>SUM(C12:C61)</f>
        <v>20000</v>
      </c>
      <c r="D62" s="144">
        <f t="shared" ref="D62:E62" si="2">SUM(D12:D61)</f>
        <v>24000</v>
      </c>
      <c r="E62" s="144">
        <f t="shared" si="2"/>
        <v>4000</v>
      </c>
    </row>
    <row r="63" spans="2:5" s="62" customFormat="1" x14ac:dyDescent="0.25">
      <c r="B63" s="101"/>
    </row>
  </sheetData>
  <sheetProtection sheet="1" formatRows="0"/>
  <mergeCells count="1">
    <mergeCell ref="C10:E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EDD1D-6E07-4886-BDD0-D2FF0F97AAD9}">
  <sheetPr>
    <tabColor theme="5" tint="0.59999389629810485"/>
  </sheetPr>
  <dimension ref="B2:O39"/>
  <sheetViews>
    <sheetView workbookViewId="0">
      <selection activeCell="C1" sqref="C1:C1048576"/>
    </sheetView>
  </sheetViews>
  <sheetFormatPr defaultRowHeight="15" x14ac:dyDescent="0.25"/>
  <cols>
    <col min="1" max="1" width="2.7109375" style="1" customWidth="1"/>
    <col min="2" max="3" width="36.28515625" style="1" customWidth="1"/>
    <col min="4" max="4" width="9.7109375" style="1" customWidth="1"/>
    <col min="5" max="5" width="2.7109375" style="11" customWidth="1"/>
    <col min="6" max="7" width="9.7109375" style="1" customWidth="1"/>
    <col min="8" max="8" width="2.7109375" style="11" customWidth="1"/>
    <col min="9" max="10" width="9.7109375" style="1" customWidth="1"/>
    <col min="11" max="16384" width="9.140625" style="1"/>
  </cols>
  <sheetData>
    <row r="2" spans="2:15" ht="21" x14ac:dyDescent="0.35">
      <c r="B2" s="8" t="s">
        <v>0</v>
      </c>
      <c r="C2" s="8"/>
      <c r="D2" s="9"/>
      <c r="E2" s="10"/>
      <c r="F2" s="9"/>
      <c r="G2" s="9"/>
      <c r="H2" s="10"/>
      <c r="I2" s="9"/>
      <c r="J2" s="9"/>
      <c r="K2" s="9"/>
      <c r="M2" s="1" t="s">
        <v>38</v>
      </c>
      <c r="O2" s="1" t="s">
        <v>73</v>
      </c>
    </row>
    <row r="3" spans="2:15" x14ac:dyDescent="0.25">
      <c r="B3" s="9" t="s">
        <v>1</v>
      </c>
      <c r="C3" s="9"/>
      <c r="D3" s="9"/>
      <c r="E3" s="10"/>
      <c r="F3" s="9"/>
      <c r="G3" s="9"/>
      <c r="H3" s="10"/>
      <c r="I3" s="9"/>
      <c r="J3" s="9"/>
      <c r="K3" s="9"/>
      <c r="O3" s="1" t="s">
        <v>79</v>
      </c>
    </row>
    <row r="4" spans="2:15" x14ac:dyDescent="0.25">
      <c r="B4" s="9" t="s">
        <v>2</v>
      </c>
      <c r="C4" s="9"/>
      <c r="D4" s="9"/>
      <c r="E4" s="10"/>
      <c r="F4" s="9"/>
      <c r="G4" s="9"/>
      <c r="H4" s="10"/>
      <c r="I4" s="9"/>
      <c r="J4" s="9"/>
      <c r="K4" s="9"/>
      <c r="O4" s="1" t="s">
        <v>39</v>
      </c>
    </row>
    <row r="5" spans="2:15" x14ac:dyDescent="0.25">
      <c r="O5" s="1" t="s">
        <v>41</v>
      </c>
    </row>
    <row r="6" spans="2:15" x14ac:dyDescent="0.25">
      <c r="F6" s="215" t="s">
        <v>36</v>
      </c>
      <c r="G6" s="216"/>
      <c r="I6" s="215" t="s">
        <v>37</v>
      </c>
      <c r="J6" s="217"/>
      <c r="K6" s="216"/>
    </row>
    <row r="7" spans="2:15" ht="15.75" thickBot="1" x14ac:dyDescent="0.3">
      <c r="B7" s="34" t="s">
        <v>65</v>
      </c>
      <c r="C7" s="34" t="s">
        <v>66</v>
      </c>
      <c r="D7" s="26" t="s">
        <v>3</v>
      </c>
      <c r="E7" s="12"/>
      <c r="F7" s="27" t="s">
        <v>34</v>
      </c>
      <c r="G7" s="27" t="s">
        <v>35</v>
      </c>
      <c r="H7" s="12"/>
      <c r="I7" s="27" t="s">
        <v>34</v>
      </c>
      <c r="J7" s="27" t="s">
        <v>35</v>
      </c>
      <c r="K7" s="27" t="s">
        <v>47</v>
      </c>
      <c r="M7" s="1" t="s">
        <v>74</v>
      </c>
    </row>
    <row r="8" spans="2:15" ht="15.75" thickBot="1" x14ac:dyDescent="0.3">
      <c r="B8" s="28" t="s">
        <v>4</v>
      </c>
      <c r="C8" s="25"/>
      <c r="D8" s="30">
        <v>8000</v>
      </c>
      <c r="E8" s="13"/>
      <c r="F8" s="15"/>
      <c r="G8" s="15"/>
      <c r="H8" s="13"/>
      <c r="I8" s="6"/>
      <c r="J8" s="6"/>
      <c r="K8" s="6"/>
    </row>
    <row r="9" spans="2:15" ht="15.75" thickBot="1" x14ac:dyDescent="0.3">
      <c r="B9" s="29" t="s">
        <v>5</v>
      </c>
      <c r="C9" s="25"/>
      <c r="D9" s="31"/>
      <c r="E9" s="13"/>
      <c r="F9" s="15">
        <v>1.27</v>
      </c>
      <c r="G9" s="15">
        <v>1.46</v>
      </c>
      <c r="H9" s="13"/>
      <c r="I9" s="6">
        <f>$D8*F9</f>
        <v>10160</v>
      </c>
      <c r="J9" s="6">
        <f>$D8*G9</f>
        <v>11680</v>
      </c>
      <c r="K9" s="19">
        <f>J9-I9</f>
        <v>1520</v>
      </c>
    </row>
    <row r="10" spans="2:15" ht="15.75" thickBot="1" x14ac:dyDescent="0.3">
      <c r="B10" s="29" t="s">
        <v>6</v>
      </c>
      <c r="C10" s="25"/>
      <c r="D10" s="31"/>
      <c r="E10" s="13"/>
      <c r="F10" s="15">
        <f>F31/F33</f>
        <v>9.0795909293019117E-2</v>
      </c>
      <c r="G10" s="15">
        <f>G31/G33</f>
        <v>8.8122415219189412E-2</v>
      </c>
      <c r="H10" s="13"/>
      <c r="I10" s="6">
        <f>$D8*F10</f>
        <v>726.36727434415297</v>
      </c>
      <c r="J10" s="6">
        <f>$D8*G10</f>
        <v>704.97932175351525</v>
      </c>
      <c r="K10" s="19">
        <f t="shared" ref="K10:K26" si="0">J10-I10</f>
        <v>-21.387952590637724</v>
      </c>
    </row>
    <row r="11" spans="2:15" ht="15.75" thickBot="1" x14ac:dyDescent="0.3">
      <c r="B11" s="29" t="s">
        <v>7</v>
      </c>
      <c r="C11" s="45" t="s">
        <v>77</v>
      </c>
      <c r="D11" s="46">
        <v>1</v>
      </c>
      <c r="E11" s="13"/>
      <c r="F11" s="15">
        <f>$D11*F34</f>
        <v>0.71142730102267671</v>
      </c>
      <c r="G11" s="15">
        <f>$D11*G34</f>
        <v>0.74441687344913154</v>
      </c>
      <c r="H11" s="13"/>
      <c r="I11" s="6">
        <f>$D8*F11</f>
        <v>5691.4184081814137</v>
      </c>
      <c r="J11" s="6">
        <f>$D8*G11</f>
        <v>5955.3349875930526</v>
      </c>
      <c r="K11" s="19">
        <f t="shared" si="0"/>
        <v>263.91657941163885</v>
      </c>
      <c r="L11" s="1" t="s">
        <v>40</v>
      </c>
      <c r="M11" s="24"/>
    </row>
    <row r="12" spans="2:15" ht="15.75" thickBot="1" x14ac:dyDescent="0.3">
      <c r="B12" s="29" t="s">
        <v>8</v>
      </c>
      <c r="C12" s="33" t="s">
        <v>45</v>
      </c>
      <c r="D12" s="30">
        <v>80</v>
      </c>
      <c r="E12" s="13"/>
      <c r="F12" s="15">
        <v>14</v>
      </c>
      <c r="G12" s="15">
        <v>14</v>
      </c>
      <c r="H12" s="13"/>
      <c r="I12" s="6">
        <f t="shared" ref="I12:J21" si="1">$D12*F12</f>
        <v>1120</v>
      </c>
      <c r="J12" s="6">
        <f t="shared" si="1"/>
        <v>1120</v>
      </c>
      <c r="K12" s="19">
        <f t="shared" si="0"/>
        <v>0</v>
      </c>
    </row>
    <row r="13" spans="2:15" ht="15.75" thickBot="1" x14ac:dyDescent="0.3">
      <c r="B13" s="29" t="s">
        <v>9</v>
      </c>
      <c r="C13" s="33" t="s">
        <v>45</v>
      </c>
      <c r="D13" s="30">
        <v>65</v>
      </c>
      <c r="E13" s="13"/>
      <c r="F13" s="15">
        <v>14</v>
      </c>
      <c r="G13" s="15">
        <v>14</v>
      </c>
      <c r="H13" s="13"/>
      <c r="I13" s="6">
        <f t="shared" si="1"/>
        <v>910</v>
      </c>
      <c r="J13" s="6">
        <f t="shared" si="1"/>
        <v>910</v>
      </c>
      <c r="K13" s="19">
        <f t="shared" si="0"/>
        <v>0</v>
      </c>
      <c r="O13" s="24"/>
    </row>
    <row r="14" spans="2:15" ht="15.75" thickBot="1" x14ac:dyDescent="0.3">
      <c r="B14" s="29" t="s">
        <v>10</v>
      </c>
      <c r="C14" s="33" t="s">
        <v>43</v>
      </c>
      <c r="D14" s="30">
        <v>20</v>
      </c>
      <c r="E14" s="13"/>
      <c r="F14" s="15">
        <v>15</v>
      </c>
      <c r="G14" s="15">
        <v>10</v>
      </c>
      <c r="H14" s="13"/>
      <c r="I14" s="6">
        <f t="shared" si="1"/>
        <v>300</v>
      </c>
      <c r="J14" s="6">
        <f t="shared" si="1"/>
        <v>200</v>
      </c>
      <c r="K14" s="19">
        <f t="shared" si="0"/>
        <v>-100</v>
      </c>
      <c r="O14" s="24"/>
    </row>
    <row r="15" spans="2:15" ht="15.75" thickBot="1" x14ac:dyDescent="0.3">
      <c r="B15" s="29" t="s">
        <v>11</v>
      </c>
      <c r="C15" s="33" t="s">
        <v>43</v>
      </c>
      <c r="D15" s="30">
        <v>2</v>
      </c>
      <c r="E15" s="13"/>
      <c r="F15" s="18">
        <v>45</v>
      </c>
      <c r="G15" s="15">
        <v>50.85</v>
      </c>
      <c r="H15" s="13"/>
      <c r="I15" s="6">
        <f t="shared" si="1"/>
        <v>90</v>
      </c>
      <c r="J15" s="6">
        <f t="shared" si="1"/>
        <v>101.7</v>
      </c>
      <c r="K15" s="19">
        <f t="shared" si="0"/>
        <v>11.700000000000003</v>
      </c>
      <c r="O15" s="24"/>
    </row>
    <row r="16" spans="2:15" ht="15.75" thickBot="1" x14ac:dyDescent="0.3">
      <c r="B16" s="29" t="s">
        <v>12</v>
      </c>
      <c r="C16" s="33" t="s">
        <v>44</v>
      </c>
      <c r="D16" s="30">
        <v>3</v>
      </c>
      <c r="E16" s="13"/>
      <c r="F16" s="18">
        <v>18</v>
      </c>
      <c r="G16" s="15">
        <v>25</v>
      </c>
      <c r="H16" s="13"/>
      <c r="I16" s="6">
        <f t="shared" si="1"/>
        <v>54</v>
      </c>
      <c r="J16" s="6">
        <f t="shared" si="1"/>
        <v>75</v>
      </c>
      <c r="K16" s="19">
        <f t="shared" si="0"/>
        <v>21</v>
      </c>
      <c r="O16" s="24"/>
    </row>
    <row r="17" spans="2:15" ht="15.75" thickBot="1" x14ac:dyDescent="0.3">
      <c r="B17" s="29" t="s">
        <v>13</v>
      </c>
      <c r="C17" s="33" t="s">
        <v>44</v>
      </c>
      <c r="D17" s="30">
        <v>1</v>
      </c>
      <c r="E17" s="13"/>
      <c r="F17" s="18">
        <v>18</v>
      </c>
      <c r="G17" s="15">
        <v>25</v>
      </c>
      <c r="H17" s="13"/>
      <c r="I17" s="6">
        <f t="shared" si="1"/>
        <v>18</v>
      </c>
      <c r="J17" s="6">
        <f t="shared" si="1"/>
        <v>25</v>
      </c>
      <c r="K17" s="19">
        <f t="shared" si="0"/>
        <v>7</v>
      </c>
      <c r="O17" s="24"/>
    </row>
    <row r="18" spans="2:15" s="36" customFormat="1" ht="15.75" thickBot="1" x14ac:dyDescent="0.3">
      <c r="B18" s="37" t="s">
        <v>14</v>
      </c>
      <c r="C18" s="38" t="s">
        <v>44</v>
      </c>
      <c r="D18" s="39">
        <v>1</v>
      </c>
      <c r="E18" s="40"/>
      <c r="F18" s="41">
        <v>0</v>
      </c>
      <c r="G18" s="41">
        <v>0</v>
      </c>
      <c r="H18" s="40"/>
      <c r="I18" s="42">
        <f t="shared" si="1"/>
        <v>0</v>
      </c>
      <c r="J18" s="42">
        <f t="shared" si="1"/>
        <v>0</v>
      </c>
      <c r="K18" s="43">
        <f t="shared" si="0"/>
        <v>0</v>
      </c>
      <c r="O18" s="44"/>
    </row>
    <row r="19" spans="2:15" ht="15.75" thickBot="1" x14ac:dyDescent="0.3">
      <c r="B19" s="29" t="s">
        <v>15</v>
      </c>
      <c r="C19" s="33" t="s">
        <v>46</v>
      </c>
      <c r="D19" s="30">
        <v>10</v>
      </c>
      <c r="E19" s="13"/>
      <c r="F19" s="15">
        <v>15</v>
      </c>
      <c r="G19" s="15">
        <v>15</v>
      </c>
      <c r="H19" s="13"/>
      <c r="I19" s="6">
        <f t="shared" si="1"/>
        <v>150</v>
      </c>
      <c r="J19" s="6">
        <f t="shared" si="1"/>
        <v>150</v>
      </c>
      <c r="K19" s="19">
        <f t="shared" si="0"/>
        <v>0</v>
      </c>
    </row>
    <row r="20" spans="2:15" ht="15.75" thickBot="1" x14ac:dyDescent="0.3">
      <c r="B20" s="29" t="s">
        <v>16</v>
      </c>
      <c r="C20" s="33" t="s">
        <v>46</v>
      </c>
      <c r="D20" s="30">
        <v>10</v>
      </c>
      <c r="E20" s="13"/>
      <c r="F20" s="18">
        <v>15</v>
      </c>
      <c r="G20" s="15">
        <v>17</v>
      </c>
      <c r="H20" s="13"/>
      <c r="I20" s="6">
        <f t="shared" si="1"/>
        <v>150</v>
      </c>
      <c r="J20" s="6">
        <f t="shared" si="1"/>
        <v>170</v>
      </c>
      <c r="K20" s="19">
        <f t="shared" si="0"/>
        <v>20</v>
      </c>
      <c r="O20" s="24"/>
    </row>
    <row r="21" spans="2:15" ht="15.75" thickBot="1" x14ac:dyDescent="0.3">
      <c r="B21" s="29" t="s">
        <v>17</v>
      </c>
      <c r="C21" s="33" t="s">
        <v>46</v>
      </c>
      <c r="D21" s="30">
        <v>30</v>
      </c>
      <c r="E21" s="13"/>
      <c r="F21" s="18">
        <v>15</v>
      </c>
      <c r="G21" s="15">
        <v>17</v>
      </c>
      <c r="H21" s="13"/>
      <c r="I21" s="6">
        <f t="shared" si="1"/>
        <v>450</v>
      </c>
      <c r="J21" s="6">
        <f t="shared" si="1"/>
        <v>510</v>
      </c>
      <c r="K21" s="19">
        <f t="shared" si="0"/>
        <v>60</v>
      </c>
    </row>
    <row r="22" spans="2:15" ht="15.75" thickBot="1" x14ac:dyDescent="0.3">
      <c r="B22" s="29" t="s">
        <v>18</v>
      </c>
      <c r="C22" s="33" t="s">
        <v>46</v>
      </c>
      <c r="D22" s="31"/>
      <c r="E22" s="13"/>
      <c r="F22" s="17"/>
      <c r="G22" s="17"/>
      <c r="H22" s="13"/>
      <c r="I22" s="6">
        <f>IF($D21&gt;=30,1000,IF($D21&gt;=20,0,0))</f>
        <v>1000</v>
      </c>
      <c r="J22" s="6">
        <f>IF($D21&gt;=30,1000,IF($D21&gt;=20,0,0))</f>
        <v>1000</v>
      </c>
      <c r="K22" s="19">
        <f t="shared" si="0"/>
        <v>0</v>
      </c>
    </row>
    <row r="23" spans="2:15" ht="15.75" thickBot="1" x14ac:dyDescent="0.3">
      <c r="B23" s="29" t="s">
        <v>19</v>
      </c>
      <c r="C23" s="33" t="s">
        <v>42</v>
      </c>
      <c r="D23" s="30">
        <v>1</v>
      </c>
      <c r="E23" s="13"/>
      <c r="F23" s="18">
        <v>35</v>
      </c>
      <c r="G23" s="15">
        <v>35</v>
      </c>
      <c r="H23" s="13"/>
      <c r="I23" s="6">
        <f t="shared" ref="I23:J26" si="2">$D23*F23</f>
        <v>35</v>
      </c>
      <c r="J23" s="6">
        <f t="shared" si="2"/>
        <v>35</v>
      </c>
      <c r="K23" s="19">
        <f t="shared" si="0"/>
        <v>0</v>
      </c>
      <c r="L23" s="1" t="s">
        <v>80</v>
      </c>
    </row>
    <row r="24" spans="2:15" ht="15.75" thickBot="1" x14ac:dyDescent="0.3">
      <c r="B24" s="29" t="s">
        <v>20</v>
      </c>
      <c r="C24" s="25"/>
      <c r="D24" s="30">
        <v>0</v>
      </c>
      <c r="E24" s="13"/>
      <c r="F24" s="18">
        <v>28</v>
      </c>
      <c r="G24" s="15">
        <v>28</v>
      </c>
      <c r="H24" s="13"/>
      <c r="I24" s="6">
        <f t="shared" si="2"/>
        <v>0</v>
      </c>
      <c r="J24" s="6">
        <f t="shared" si="2"/>
        <v>0</v>
      </c>
      <c r="K24" s="19">
        <f t="shared" si="0"/>
        <v>0</v>
      </c>
      <c r="L24" s="1" t="s">
        <v>78</v>
      </c>
    </row>
    <row r="25" spans="2:15" ht="15.75" thickBot="1" x14ac:dyDescent="0.3">
      <c r="B25" s="29" t="s">
        <v>21</v>
      </c>
      <c r="C25" s="25"/>
      <c r="D25" s="30">
        <v>0</v>
      </c>
      <c r="E25" s="13"/>
      <c r="F25" s="18">
        <v>4.32</v>
      </c>
      <c r="G25" s="15">
        <v>4.32</v>
      </c>
      <c r="H25" s="13"/>
      <c r="I25" s="6">
        <f t="shared" si="2"/>
        <v>0</v>
      </c>
      <c r="J25" s="6">
        <f t="shared" si="2"/>
        <v>0</v>
      </c>
      <c r="K25" s="19">
        <f t="shared" si="0"/>
        <v>0</v>
      </c>
      <c r="L25" s="1" t="s">
        <v>78</v>
      </c>
    </row>
    <row r="26" spans="2:15" ht="15.75" thickBot="1" x14ac:dyDescent="0.3">
      <c r="B26" s="29" t="s">
        <v>22</v>
      </c>
      <c r="C26" s="25"/>
      <c r="D26" s="32">
        <v>0</v>
      </c>
      <c r="E26" s="13"/>
      <c r="F26" s="15">
        <v>97.85</v>
      </c>
      <c r="G26" s="15">
        <v>97.85</v>
      </c>
      <c r="H26" s="13"/>
      <c r="I26" s="6">
        <f t="shared" si="2"/>
        <v>0</v>
      </c>
      <c r="J26" s="6">
        <f t="shared" si="2"/>
        <v>0</v>
      </c>
      <c r="K26" s="19">
        <f t="shared" si="0"/>
        <v>0</v>
      </c>
      <c r="L26" s="1" t="s">
        <v>78</v>
      </c>
    </row>
    <row r="28" spans="2:15" x14ac:dyDescent="0.25">
      <c r="D28" s="11"/>
      <c r="E28" s="16"/>
      <c r="F28" s="22"/>
      <c r="G28" s="23" t="s">
        <v>55</v>
      </c>
      <c r="H28" s="14"/>
      <c r="I28" s="7">
        <f>SUM(I9:I27)</f>
        <v>20854.785682525566</v>
      </c>
      <c r="J28" s="7">
        <f>SUM(J9:J27)</f>
        <v>22637.01430934657</v>
      </c>
      <c r="K28" s="7">
        <f>SUM(K9:K27)</f>
        <v>1782.2286268210012</v>
      </c>
    </row>
    <row r="29" spans="2:15" x14ac:dyDescent="0.25">
      <c r="D29" s="11"/>
      <c r="E29" s="16"/>
      <c r="F29" s="16"/>
      <c r="G29" s="21"/>
      <c r="H29" s="16"/>
      <c r="I29" s="16"/>
      <c r="J29" s="16"/>
      <c r="K29" s="16"/>
    </row>
    <row r="30" spans="2:15" x14ac:dyDescent="0.25">
      <c r="F30" s="1" t="s">
        <v>52</v>
      </c>
      <c r="G30" s="1" t="s">
        <v>34</v>
      </c>
    </row>
    <row r="31" spans="2:15" x14ac:dyDescent="0.25">
      <c r="B31" s="1" t="s">
        <v>50</v>
      </c>
      <c r="F31" s="20">
        <v>102.1</v>
      </c>
      <c r="G31" s="20">
        <v>106.54</v>
      </c>
      <c r="I31" s="1" t="s">
        <v>51</v>
      </c>
    </row>
    <row r="32" spans="2:15" x14ac:dyDescent="0.25">
      <c r="B32" s="1" t="s">
        <v>48</v>
      </c>
      <c r="F32" s="20">
        <v>800</v>
      </c>
      <c r="G32" s="20">
        <v>900</v>
      </c>
      <c r="I32" s="1" t="s">
        <v>53</v>
      </c>
    </row>
    <row r="33" spans="2:11" x14ac:dyDescent="0.25">
      <c r="B33" s="1" t="s">
        <v>49</v>
      </c>
      <c r="F33" s="20">
        <v>1124.5</v>
      </c>
      <c r="G33" s="20">
        <v>1209</v>
      </c>
    </row>
    <row r="34" spans="2:11" x14ac:dyDescent="0.25">
      <c r="B34" s="1" t="s">
        <v>75</v>
      </c>
      <c r="F34" s="4">
        <f>F32/F33</f>
        <v>0.71142730102267671</v>
      </c>
      <c r="G34" s="4">
        <f t="shared" ref="G34" si="3">G32/G33</f>
        <v>0.74441687344913154</v>
      </c>
      <c r="H34" s="20"/>
    </row>
    <row r="36" spans="2:11" ht="21" x14ac:dyDescent="0.35">
      <c r="B36" s="8" t="s">
        <v>23</v>
      </c>
      <c r="C36" s="8"/>
      <c r="D36" s="9"/>
      <c r="E36" s="10"/>
      <c r="F36" s="9"/>
      <c r="G36" s="9"/>
      <c r="H36" s="10"/>
      <c r="I36" s="9"/>
      <c r="J36" s="9"/>
      <c r="K36" s="9"/>
    </row>
    <row r="37" spans="2:11" x14ac:dyDescent="0.25">
      <c r="B37" s="9" t="s">
        <v>24</v>
      </c>
      <c r="C37" s="9"/>
      <c r="D37" s="9"/>
      <c r="E37" s="10"/>
      <c r="F37" s="9"/>
      <c r="G37" s="9"/>
      <c r="H37" s="10"/>
      <c r="I37" s="9"/>
      <c r="J37" s="9"/>
      <c r="K37" s="9"/>
    </row>
    <row r="38" spans="2:11" x14ac:dyDescent="0.25">
      <c r="B38" s="9" t="s">
        <v>25</v>
      </c>
      <c r="C38" s="9"/>
      <c r="D38" s="9"/>
      <c r="E38" s="10"/>
      <c r="F38" s="9"/>
      <c r="G38" s="9"/>
      <c r="H38" s="10"/>
      <c r="I38" s="9"/>
      <c r="J38" s="9"/>
      <c r="K38" s="9"/>
    </row>
    <row r="39" spans="2:11" x14ac:dyDescent="0.25">
      <c r="B39" s="9" t="s">
        <v>26</v>
      </c>
      <c r="C39" s="9"/>
      <c r="D39" s="9"/>
      <c r="E39" s="10"/>
      <c r="F39" s="9"/>
      <c r="G39" s="9"/>
      <c r="H39" s="10"/>
      <c r="I39" s="9"/>
      <c r="J39" s="9"/>
      <c r="K39" s="9"/>
    </row>
  </sheetData>
  <mergeCells count="2">
    <mergeCell ref="F6:G6"/>
    <mergeCell ref="I6:K6"/>
  </mergeCells>
  <hyperlinks>
    <hyperlink ref="C22" r:id="rId1" display="https://cpe.org.uk/national-pharmacy-services/advanced-services/pharmacy-first-service/" xr:uid="{BDAD42EE-B3E6-42DF-A9EB-F742E48BDBF9}"/>
    <hyperlink ref="C21" r:id="rId2" display="https://cpe.org.uk/national-pharmacy-services/advanced-services/pharmacy-first-service/" xr:uid="{DD6D7283-2DF1-4C3A-B36D-BEDA9D223555}"/>
    <hyperlink ref="C20" r:id="rId3" display="https://cpe.org.uk/national-pharmacy-services/advanced-services/pharmacy-first-service/" xr:uid="{2CD8EC8E-087D-41D0-B1B3-AC9D64675F9C}"/>
    <hyperlink ref="C19" r:id="rId4" display="https://cpe.org.uk/national-pharmacy-services/advanced-services/pharmacy-first-service/" xr:uid="{D082B932-4D82-42C3-A106-C3568EA5C611}"/>
    <hyperlink ref="C13" r:id="rId5" display="https://cpe.org.uk/national-pharmacy-services/advanced-services/nms/" xr:uid="{B0F30B75-895C-4974-BF1F-DADC239AEFFE}"/>
    <hyperlink ref="C12" r:id="rId6" display="https://cpe.org.uk/national-pharmacy-services/advanced-services/nms/" xr:uid="{A60A387C-7975-48C4-80E7-81C713669D5A}"/>
    <hyperlink ref="C16" r:id="rId7" display="https://cpe.org.uk/national-pharmacy-services/advanced-services/pharmacy-contraception-service/" xr:uid="{565AB0F0-9643-46A9-B20D-21814FE9A188}"/>
    <hyperlink ref="C17" r:id="rId8" display="https://cpe.org.uk/national-pharmacy-services/advanced-services/pharmacy-contraception-service/" xr:uid="{1B68770F-A918-488F-9138-374EA45C1B27}"/>
    <hyperlink ref="C18" r:id="rId9" display="https://cpe.org.uk/national-pharmacy-services/advanced-services/pharmacy-contraception-service/" xr:uid="{C2D425FD-DA93-459A-8464-244B55CDC0C2}"/>
    <hyperlink ref="C15" r:id="rId10" display="https://cpe.org.uk/national-pharmacy-services/advanced-services/hypertension-case-finding-service/" xr:uid="{77BF939E-6696-447D-9E3E-9B2E7FD3D938}"/>
    <hyperlink ref="C14" r:id="rId11" display="https://cpe.org.uk/national-pharmacy-services/advanced-services/hypertension-case-finding-service/" xr:uid="{7A22C47D-1F33-4F8B-88CC-2E3BCB04C4CA}"/>
    <hyperlink ref="C23" r:id="rId12" display="https://cpe.org.uk/funding-and-reimbursement/pharmacy-funding/funding-distribution/essential-service-payments/" xr:uid="{6B544E68-4075-4986-8CCB-B1C32F45799F}"/>
  </hyperlinks>
  <pageMargins left="0.7" right="0.7" top="0.75" bottom="0.75" header="0.3" footer="0.3"/>
  <pageSetup paperSize="9" orientation="portrait"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promptTitle="Select % Average Buying Profit" prompt="Select percentage of Average Buying Profit" xr:uid="{9B88F703-D919-4522-B0F9-36636BE14C92}">
          <x14:formula1>
            <xm:f>ProfitOptions!$B$3:$B$7</xm:f>
          </x14:formula1>
          <xm:sqref>D11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F820-7F77-481D-ABAD-8BBD1731E606}">
  <dimension ref="B2:F9"/>
  <sheetViews>
    <sheetView workbookViewId="0">
      <selection activeCell="E8" sqref="E8"/>
    </sheetView>
  </sheetViews>
  <sheetFormatPr defaultRowHeight="15" x14ac:dyDescent="0.25"/>
  <cols>
    <col min="2" max="2" width="25.7109375" customWidth="1"/>
    <col min="5" max="5" width="26.42578125" bestFit="1" customWidth="1"/>
  </cols>
  <sheetData>
    <row r="2" spans="2:6" x14ac:dyDescent="0.25">
      <c r="B2" t="s">
        <v>76</v>
      </c>
      <c r="E2" t="s">
        <v>144</v>
      </c>
      <c r="F2" t="s">
        <v>143</v>
      </c>
    </row>
    <row r="3" spans="2:6" x14ac:dyDescent="0.25">
      <c r="B3" s="35">
        <v>0</v>
      </c>
      <c r="E3" t="s">
        <v>145</v>
      </c>
      <c r="F3">
        <v>20</v>
      </c>
    </row>
    <row r="4" spans="2:6" x14ac:dyDescent="0.25">
      <c r="B4" s="35">
        <v>0.25</v>
      </c>
      <c r="E4" t="s">
        <v>146</v>
      </c>
      <c r="F4">
        <v>25</v>
      </c>
    </row>
    <row r="5" spans="2:6" x14ac:dyDescent="0.25">
      <c r="B5" s="35">
        <v>0.5</v>
      </c>
      <c r="E5" t="s">
        <v>147</v>
      </c>
      <c r="F5">
        <v>26</v>
      </c>
    </row>
    <row r="6" spans="2:6" x14ac:dyDescent="0.25">
      <c r="B6" s="35">
        <v>0.75</v>
      </c>
      <c r="E6" t="s">
        <v>148</v>
      </c>
      <c r="F6">
        <v>27</v>
      </c>
    </row>
    <row r="7" spans="2:6" x14ac:dyDescent="0.25">
      <c r="B7" s="35">
        <v>1</v>
      </c>
      <c r="E7" t="s">
        <v>149</v>
      </c>
      <c r="F7">
        <v>28</v>
      </c>
    </row>
    <row r="8" spans="2:6" x14ac:dyDescent="0.25">
      <c r="B8" s="35">
        <v>1.25</v>
      </c>
    </row>
    <row r="9" spans="2:6" x14ac:dyDescent="0.25">
      <c r="B9" s="35">
        <v>1.5</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de621b-792f-4589-82be-4aea2ca125fe">
      <Terms xmlns="http://schemas.microsoft.com/office/infopath/2007/PartnerControls"/>
    </lcf76f155ced4ddcb4097134ff3c332f>
    <TaxCatchAll xmlns="1c7d3551-5694-4f12-b35a-d9a7a462ea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7D17D9E47F34429ADF1BDAA305EC92" ma:contentTypeVersion="" ma:contentTypeDescription="Create a new document." ma:contentTypeScope="" ma:versionID="3cabf7513de2aaaa2aeba39d05260980">
  <xsd:schema xmlns:xsd="http://www.w3.org/2001/XMLSchema" xmlns:xs="http://www.w3.org/2001/XMLSchema" xmlns:p="http://schemas.microsoft.com/office/2006/metadata/properties" xmlns:ns2="1c7d3551-5694-4f12-b35a-d9a7a462ea4b" xmlns:ns3="57de621b-792f-4589-82be-4aea2ca125fe" targetNamespace="http://schemas.microsoft.com/office/2006/metadata/properties" ma:root="true" ma:fieldsID="9a852957b0e3cec3cade5b3674c5c411" ns2:_="" ns3:_="">
    <xsd:import namespace="1c7d3551-5694-4f12-b35a-d9a7a462ea4b"/>
    <xsd:import namespace="57de621b-792f-4589-82be-4aea2ca125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EventHashCode" minOccurs="0"/>
                <xsd:element ref="ns3:MediaServiceGenerationTime" minOccurs="0"/>
                <xsd:element ref="ns3:MediaServiceAutoTags" minOccurs="0"/>
                <xsd:element ref="ns3:MediaServiceOCR" minOccurs="0"/>
                <xsd:element ref="ns3:MediaServiceAutoKeyPoints" minOccurs="0"/>
                <xsd:element ref="ns3:MediaServiceKeyPoints" minOccurs="0"/>
                <xsd:element ref="ns3:MediaServiceLocation"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7d3551-5694-4f12-b35a-d9a7a462ea4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D23F7F60-ED3E-4AA3-B506-D1669730A353}" ma:internalName="TaxCatchAll" ma:showField="CatchAllData" ma:web="{f9ee4b27-25d1-43ab-9954-0994902f4c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de621b-792f-4589-82be-4aea2ca125f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85b3fcf-ce55-45eb-a651-8211b79e8a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072FB6-242C-4041-90D9-F75EF5DDA365}">
  <ds:schemaRefs>
    <ds:schemaRef ds:uri="http://schemas.microsoft.com/sharepoint/v3/contenttype/forms"/>
  </ds:schemaRefs>
</ds:datastoreItem>
</file>

<file path=customXml/itemProps2.xml><?xml version="1.0" encoding="utf-8"?>
<ds:datastoreItem xmlns:ds="http://schemas.openxmlformats.org/officeDocument/2006/customXml" ds:itemID="{C699E39E-66CC-49ED-8BA8-D753B468BB10}">
  <ds:schemaRef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www.w3.org/XML/1998/namespace"/>
    <ds:schemaRef ds:uri="57de621b-792f-4589-82be-4aea2ca125fe"/>
    <ds:schemaRef ds:uri="1c7d3551-5694-4f12-b35a-d9a7a462ea4b"/>
    <ds:schemaRef ds:uri="http://schemas.microsoft.com/office/2006/metadata/properties"/>
  </ds:schemaRefs>
</ds:datastoreItem>
</file>

<file path=customXml/itemProps3.xml><?xml version="1.0" encoding="utf-8"?>
<ds:datastoreItem xmlns:ds="http://schemas.openxmlformats.org/officeDocument/2006/customXml" ds:itemID="{AF3D5D0C-8256-42A9-893B-B929BFC25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7d3551-5694-4f12-b35a-d9a7a462ea4b"/>
    <ds:schemaRef ds:uri="57de621b-792f-4589-82be-4aea2ca12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Summary</vt:lpstr>
      <vt:lpstr>Revenue</vt:lpstr>
      <vt:lpstr>Revenue (checker)</vt:lpstr>
      <vt:lpstr>Minimum Wage calculator</vt:lpstr>
      <vt:lpstr>NI calculator</vt:lpstr>
      <vt:lpstr>Other Costs</vt:lpstr>
      <vt:lpstr>Revenue (original)</vt:lpstr>
      <vt:lpstr>ProfitOptions</vt:lpstr>
      <vt:lpstr>PQS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jcresswell</dc:creator>
  <cp:keywords/>
  <dc:description/>
  <cp:lastModifiedBy>Raif Barnes</cp:lastModifiedBy>
  <cp:revision/>
  <dcterms:created xsi:type="dcterms:W3CDTF">2020-04-01T11:30:32Z</dcterms:created>
  <dcterms:modified xsi:type="dcterms:W3CDTF">2025-05-01T15:33:20Z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0x010100F17D17D9E47F34429ADF1BDAA305EC92</vt:lpwstr>
  </property>
  <property fmtid="{D5CDD505-2E9C-101B-9397-08002B2CF9AE}" pid="3" name="MediaServiceImageTags">
    <vt:lpwstr/>
  </property>
</Properties>
</file>